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ypothèses" sheetId="1" state="visible" r:id="rId1"/>
    <sheet xmlns:r="http://schemas.openxmlformats.org/officeDocument/2006/relationships" name="Investissements" sheetId="2" state="visible" r:id="rId2"/>
    <sheet xmlns:r="http://schemas.openxmlformats.org/officeDocument/2006/relationships" name="Prévisionnel" sheetId="3" state="visible" r:id="rId3"/>
    <sheet xmlns:r="http://schemas.openxmlformats.org/officeDocument/2006/relationships" name="Tableau de bord" sheetId="4" state="visible" r:id="rId4"/>
  </sheets>
  <definedNames>
    <definedName name="_xlnm._FilterDatabase" localSheetId="0" hidden="1">'Hypothèses'!$A$4:$C$24</definedName>
    <definedName name="_xlnm._FilterDatabase" localSheetId="1" hidden="1">'Investissements'!$A$4:$L$104</definedName>
    <definedName name="_xlnm._FilterDatabase" localSheetId="2" hidden="1">'Prévisionnel'!$A$4:$U$104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DD/MM/YYYY"/>
    <numFmt numFmtId="165" formatCode="# ##0"/>
    <numFmt numFmtId="166" formatCode="# ##0,00 &quot;€&quot;"/>
    <numFmt numFmtId="167" formatCode="0,0 %"/>
    <numFmt numFmtId="168" formatCode="# ##0,00"/>
  </numFmts>
  <fonts count="5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color rgb="001F2937"/>
      <sz val="10"/>
    </font>
    <font>
      <name val="Aptos"/>
      <b val="1"/>
      <color rgb="00FFFFFF"/>
      <sz val="11"/>
    </font>
    <font>
      <name val="Aptos"/>
      <b val="1"/>
      <color rgb="00FFFFFF"/>
      <sz val="10"/>
    </font>
  </fonts>
  <fills count="10">
    <fill>
      <patternFill/>
    </fill>
    <fill>
      <patternFill patternType="gray125"/>
    </fill>
    <fill>
      <patternFill patternType="solid">
        <fgColor rgb="001E293B"/>
      </patternFill>
    </fill>
    <fill>
      <patternFill patternType="solid">
        <fgColor rgb="000F766E"/>
      </patternFill>
    </fill>
    <fill>
      <patternFill patternType="solid">
        <fgColor rgb="00F0FDFA"/>
      </patternFill>
    </fill>
    <fill>
      <patternFill patternType="solid">
        <fgColor rgb="00FFFBEB"/>
      </patternFill>
    </fill>
    <fill>
      <patternFill patternType="solid">
        <fgColor rgb="00FFFFFF"/>
      </patternFill>
    </fill>
    <fill>
      <patternFill patternType="solid">
        <fgColor rgb="0014B8A6"/>
      </patternFill>
    </fill>
    <fill>
      <patternFill patternType="solid">
        <fgColor rgb="00F8FAFC"/>
      </patternFill>
    </fill>
    <fill>
      <patternFill patternType="solid">
        <fgColor rgb="00C8102E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65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left" vertical="center" wrapText="1"/>
    </xf>
    <xf numFmtId="0" fontId="2" fillId="5" borderId="1" applyAlignment="1" pivotButton="0" quotePrefix="0" xfId="0">
      <alignment horizontal="right" vertical="center"/>
    </xf>
    <xf numFmtId="0" fontId="2" fillId="6" borderId="1" applyAlignment="1" pivotButton="0" quotePrefix="0" xfId="0">
      <alignment horizontal="left" vertical="center" wrapText="1"/>
    </xf>
    <xf numFmtId="164" fontId="2" fillId="5" borderId="1" applyAlignment="1" pivotButton="0" quotePrefix="0" xfId="0">
      <alignment horizontal="right" vertical="center"/>
    </xf>
    <xf numFmtId="165" fontId="2" fillId="5" borderId="1" applyAlignment="1" pivotButton="0" quotePrefix="0" xfId="0">
      <alignment horizontal="right" vertical="center"/>
    </xf>
    <xf numFmtId="166" fontId="2" fillId="5" borderId="1" applyAlignment="1" pivotButton="0" quotePrefix="0" xfId="0">
      <alignment horizontal="right" vertical="center"/>
    </xf>
    <xf numFmtId="167" fontId="2" fillId="5" borderId="1" applyAlignment="1" pivotButton="0" quotePrefix="0" xfId="0">
      <alignment horizontal="right" vertical="center"/>
    </xf>
    <xf numFmtId="0" fontId="2" fillId="5" borderId="1" applyAlignment="1" pivotButton="0" quotePrefix="0" xfId="0">
      <alignment horizontal="left" vertical="center"/>
    </xf>
    <xf numFmtId="164" fontId="2" fillId="5" borderId="1" applyAlignment="1" pivotButton="0" quotePrefix="0" xfId="0">
      <alignment horizontal="center" vertical="center"/>
    </xf>
    <xf numFmtId="165" fontId="2" fillId="5" borderId="1" applyAlignment="1" pivotButton="0" quotePrefix="0" xfId="0">
      <alignment horizontal="center" vertical="center"/>
    </xf>
    <xf numFmtId="167" fontId="2" fillId="4" borderId="1" applyAlignment="1" pivotButton="0" quotePrefix="0" xfId="0">
      <alignment horizontal="center" vertical="center"/>
    </xf>
    <xf numFmtId="166" fontId="2" fillId="4" borderId="1" applyAlignment="1" pivotButton="0" quotePrefix="0" xfId="0">
      <alignment horizontal="right" vertical="center"/>
    </xf>
    <xf numFmtId="0" fontId="2" fillId="5" borderId="1" applyAlignment="1" pivotButton="0" quotePrefix="0" xfId="0">
      <alignment horizontal="center" vertical="center"/>
    </xf>
    <xf numFmtId="167" fontId="2" fillId="6" borderId="1" applyAlignment="1" pivotButton="0" quotePrefix="0" xfId="0">
      <alignment horizontal="center" vertical="center"/>
    </xf>
    <xf numFmtId="166" fontId="2" fillId="6" borderId="1" applyAlignment="1" pivotButton="0" quotePrefix="0" xfId="0">
      <alignment horizontal="right" vertical="center"/>
    </xf>
    <xf numFmtId="0" fontId="3" fillId="7" borderId="1" pivotButton="0" quotePrefix="0" xfId="0"/>
    <xf numFmtId="166" fontId="3" fillId="7" borderId="1" applyAlignment="1" pivotButton="0" quotePrefix="0" xfId="0">
      <alignment horizontal="right" vertical="center"/>
    </xf>
    <xf numFmtId="0" fontId="3" fillId="3" borderId="1" pivotButton="0" quotePrefix="0" xfId="0"/>
    <xf numFmtId="0" fontId="2" fillId="8" borderId="1" pivotButton="0" quotePrefix="0" xfId="0"/>
    <xf numFmtId="166" fontId="2" fillId="8" borderId="1" pivotButton="0" quotePrefix="0" xfId="0"/>
    <xf numFmtId="167" fontId="2" fillId="5" borderId="1" applyAlignment="1" pivotButton="0" quotePrefix="0" xfId="0">
      <alignment horizontal="center" vertical="center"/>
    </xf>
    <xf numFmtId="168" fontId="2" fillId="4" borderId="1" applyAlignment="1" pivotButton="0" quotePrefix="0" xfId="0">
      <alignment horizontal="right" vertical="center"/>
    </xf>
    <xf numFmtId="167" fontId="2" fillId="4" borderId="1" applyAlignment="1" pivotButton="0" quotePrefix="0" xfId="0">
      <alignment horizontal="right" vertical="center"/>
    </xf>
    <xf numFmtId="168" fontId="2" fillId="6" borderId="1" applyAlignment="1" pivotButton="0" quotePrefix="0" xfId="0">
      <alignment horizontal="right" vertical="center"/>
    </xf>
    <xf numFmtId="167" fontId="2" fillId="6" borderId="1" applyAlignment="1" pivotButton="0" quotePrefix="0" xfId="0">
      <alignment horizontal="right" vertical="center"/>
    </xf>
    <xf numFmtId="0" fontId="2" fillId="4" borderId="1" applyAlignment="1" pivotButton="0" quotePrefix="0" xfId="0">
      <alignment horizontal="center" vertical="center"/>
    </xf>
    <xf numFmtId="164" fontId="2" fillId="4" borderId="1" applyAlignment="1" pivotButton="0" quotePrefix="0" xfId="0">
      <alignment horizontal="center" vertical="center"/>
    </xf>
    <xf numFmtId="0" fontId="2" fillId="6" borderId="1" applyAlignment="1" pivotButton="0" quotePrefix="0" xfId="0">
      <alignment horizontal="center" vertical="center"/>
    </xf>
    <xf numFmtId="164" fontId="2" fillId="6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/>
    </xf>
    <xf numFmtId="0" fontId="2" fillId="8" borderId="1" applyAlignment="1" pivotButton="0" quotePrefix="0" xfId="0">
      <alignment horizontal="left" vertical="center"/>
    </xf>
    <xf numFmtId="166" fontId="2" fillId="8" borderId="1" applyAlignment="1" pivotButton="0" quotePrefix="0" xfId="0">
      <alignment horizontal="right" vertical="center"/>
    </xf>
    <xf numFmtId="166" fontId="0" fillId="0" borderId="0" pivotButton="0" quotePrefix="0" xfId="0"/>
    <xf numFmtId="0" fontId="2" fillId="6" borderId="1" applyAlignment="1" pivotButton="0" quotePrefix="0" xfId="0">
      <alignment horizontal="left" vertical="center"/>
    </xf>
    <xf numFmtId="165" fontId="2" fillId="6" borderId="1" applyAlignment="1" pivotButton="0" quotePrefix="0" xfId="0">
      <alignment horizontal="right" vertical="center"/>
    </xf>
    <xf numFmtId="0" fontId="4" fillId="9" borderId="1" pivotButton="0" quotePrefix="0" xfId="0"/>
    <xf numFmtId="0" fontId="0" fillId="9" borderId="1" pivotButton="0" quotePrefix="0" xfId="0"/>
    <xf numFmtId="0" fontId="2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164" fontId="2" fillId="5" borderId="1" applyAlignment="1" pivotButton="0" quotePrefix="0" xfId="0">
      <alignment horizontal="right" vertical="center"/>
    </xf>
    <xf numFmtId="165" fontId="2" fillId="5" borderId="1" applyAlignment="1" pivotButton="0" quotePrefix="0" xfId="0">
      <alignment horizontal="right" vertical="center"/>
    </xf>
    <xf numFmtId="166" fontId="2" fillId="5" borderId="1" applyAlignment="1" pivotButton="0" quotePrefix="0" xfId="0">
      <alignment horizontal="right" vertical="center"/>
    </xf>
    <xf numFmtId="167" fontId="2" fillId="5" borderId="1" applyAlignment="1" pivotButton="0" quotePrefix="0" xfId="0">
      <alignment horizontal="right" vertical="center"/>
    </xf>
    <xf numFmtId="164" fontId="2" fillId="5" borderId="1" applyAlignment="1" pivotButton="0" quotePrefix="0" xfId="0">
      <alignment horizontal="center" vertical="center"/>
    </xf>
    <xf numFmtId="165" fontId="2" fillId="5" borderId="1" applyAlignment="1" pivotButton="0" quotePrefix="0" xfId="0">
      <alignment horizontal="center" vertical="center"/>
    </xf>
    <xf numFmtId="167" fontId="2" fillId="4" borderId="1" applyAlignment="1" pivotButton="0" quotePrefix="0" xfId="0">
      <alignment horizontal="center" vertical="center"/>
    </xf>
    <xf numFmtId="166" fontId="2" fillId="4" borderId="1" applyAlignment="1" pivotButton="0" quotePrefix="0" xfId="0">
      <alignment horizontal="right" vertical="center"/>
    </xf>
    <xf numFmtId="167" fontId="2" fillId="6" borderId="1" applyAlignment="1" pivotButton="0" quotePrefix="0" xfId="0">
      <alignment horizontal="center" vertical="center"/>
    </xf>
    <xf numFmtId="166" fontId="2" fillId="6" borderId="1" applyAlignment="1" pivotButton="0" quotePrefix="0" xfId="0">
      <alignment horizontal="right" vertical="center"/>
    </xf>
    <xf numFmtId="166" fontId="3" fillId="7" borderId="1" applyAlignment="1" pivotButton="0" quotePrefix="0" xfId="0">
      <alignment horizontal="right" vertical="center"/>
    </xf>
    <xf numFmtId="166" fontId="2" fillId="8" borderId="1" pivotButton="0" quotePrefix="0" xfId="0"/>
    <xf numFmtId="167" fontId="2" fillId="5" borderId="1" applyAlignment="1" pivotButton="0" quotePrefix="0" xfId="0">
      <alignment horizontal="center" vertical="center"/>
    </xf>
    <xf numFmtId="168" fontId="2" fillId="4" borderId="1" applyAlignment="1" pivotButton="0" quotePrefix="0" xfId="0">
      <alignment horizontal="right" vertical="center"/>
    </xf>
    <xf numFmtId="167" fontId="2" fillId="4" borderId="1" applyAlignment="1" pivotButton="0" quotePrefix="0" xfId="0">
      <alignment horizontal="right" vertical="center"/>
    </xf>
    <xf numFmtId="168" fontId="2" fillId="6" borderId="1" applyAlignment="1" pivotButton="0" quotePrefix="0" xfId="0">
      <alignment horizontal="right" vertical="center"/>
    </xf>
    <xf numFmtId="167" fontId="2" fillId="6" borderId="1" applyAlignment="1" pivotButton="0" quotePrefix="0" xfId="0">
      <alignment horizontal="right" vertical="center"/>
    </xf>
    <xf numFmtId="164" fontId="2" fillId="4" borderId="1" applyAlignment="1" pivotButton="0" quotePrefix="0" xfId="0">
      <alignment horizontal="center" vertical="center"/>
    </xf>
    <xf numFmtId="164" fontId="2" fillId="6" borderId="1" applyAlignment="1" pivotButton="0" quotePrefix="0" xfId="0">
      <alignment horizontal="center" vertical="center"/>
    </xf>
    <xf numFmtId="166" fontId="2" fillId="8" borderId="1" applyAlignment="1" pivotButton="0" quotePrefix="0" xfId="0">
      <alignment horizontal="right" vertical="center"/>
    </xf>
    <xf numFmtId="166" fontId="0" fillId="0" borderId="0" pivotButton="0" quotePrefix="0" xfId="0"/>
    <xf numFmtId="165" fontId="2" fillId="6" borderId="1" applyAlignment="1" pivotButton="0" quotePrefix="0" xfId="0">
      <alignment horizontal="right" vertical="center"/>
    </xf>
  </cellXfs>
  <cellStyles count="1">
    <cellStyle name="Normal" xfId="0" builtinId="0" hidden="0"/>
  </cellStyles>
  <dxfs count="2">
    <dxf>
      <font>
        <name val="Aptos"/>
        <b val="1"/>
        <color rgb="00FFFFFF"/>
        <sz val="10"/>
      </font>
      <fill>
        <patternFill patternType="solid">
          <fgColor rgb="00DC2626"/>
        </patternFill>
      </fill>
    </dxf>
    <dxf>
      <font>
        <name val="Aptos"/>
        <b val="1"/>
        <color rgb="00FFFFFF"/>
        <sz val="10"/>
      </font>
      <fill>
        <patternFill patternType="solid">
          <fgColor rgb="0016A34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Évolution mensuelle du CA et de l'EBITDA</a:t>
            </a:r>
          </a:p>
        </rich>
      </tx>
    </title>
    <plotArea>
      <lineChart>
        <grouping val="standard"/>
        <ser>
          <idx val="0"/>
          <order val="0"/>
          <tx>
            <strRef>
              <f>'Prévisionnel'!I4</f>
            </strRef>
          </tx>
          <spPr>
            <a:ln xmlns:a="http://schemas.openxmlformats.org/drawingml/2006/main">
              <a:solidFill>
                <a:srgbClr val="0F766E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'Prévisionnel'!$A$5:$A$104</f>
            </numRef>
          </cat>
          <val>
            <numRef>
              <f>'Prévisionnel'!$I$5:$I$104</f>
            </numRef>
          </val>
        </ser>
        <ser>
          <idx val="1"/>
          <order val="1"/>
          <tx>
            <strRef>
              <f>'Prévisionnel'!P4</f>
            </strRef>
          </tx>
          <spPr>
            <a:ln xmlns:a="http://schemas.openxmlformats.org/drawingml/2006/main">
              <a:solidFill>
                <a:srgbClr val="C8102E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'Prévisionnel'!$A$5:$A$104</f>
            </numRef>
          </cat>
          <val>
            <numRef>
              <f>'Prévisionnel'!$P$5:$P$104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Mois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Montant HT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Répartition des investissements TTC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'Tableau de bord'!AB3</f>
            </strRef>
          </tx>
          <spPr>
            <a:solidFill xmlns:a="http://schemas.openxmlformats.org/drawingml/2006/main">
              <a:srgbClr val="14B8A6"/>
            </a:solidFill>
            <a:ln xmlns:a="http://schemas.openxmlformats.org/drawingml/2006/main">
              <a:prstDash val="solid"/>
            </a:ln>
          </spPr>
          <cat>
            <numRef>
              <f>'Tableau de bord'!$AA$4:$AA$10</f>
            </numRef>
          </cat>
          <val>
            <numRef>
              <f>'Tableau de bord'!$AB$4:$AB$10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Catégorie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Montant TTC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Répartition du chiffre d'affaires 2026</a:t>
            </a:r>
          </a:p>
        </rich>
      </tx>
    </title>
    <plotArea>
      <pieChart>
        <varyColors val="1"/>
        <ser>
          <idx val="0"/>
          <order val="0"/>
          <tx>
            <strRef>
              <f>'Tableau de bord'!AE3</f>
            </strRef>
          </tx>
          <spPr>
            <a:ln xmlns:a="http://schemas.openxmlformats.org/drawingml/2006/main">
              <a:prstDash val="solid"/>
            </a:ln>
          </spPr>
          <cat>
            <numRef>
              <f>'Tableau de bord'!$AD$4:$AD$7</f>
            </numRef>
          </cat>
          <val>
            <numRef>
              <f>'Tableau de bord'!$AE$4:$AE$7</f>
            </numRef>
          </val>
        </ser>
        <dLbls>
          <showPercent val="1"/>
          <showLeaderLines val="1"/>
        </dLbls>
        <firstSliceAng val="0"/>
      </pieChart>
    </plotArea>
    <legend>
      <legendPos val="r"/>
    </legend>
    <plotVisOnly val="1"/>
    <dispBlanksAs val="gap"/>
  </chart>
</chartSpace>
</file>

<file path=xl/charts/chart4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Occupation mensuelle versus objectif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'Prévisionnel'!B4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prstDash val="solid"/>
            </a:ln>
          </spPr>
          <cat>
            <numRef>
              <f>'Prévisionnel'!$A$5:$A$104</f>
            </numRef>
          </cat>
          <val>
            <numRef>
              <f>'Prévisionnel'!$B$5:$B$104</f>
            </numRef>
          </val>
        </ser>
        <ser>
          <idx val="1"/>
          <order val="1"/>
          <tx>
            <strRef>
              <f>'Prévisionnel'!U4</f>
            </strRef>
          </tx>
          <spPr>
            <a:solidFill xmlns:a="http://schemas.openxmlformats.org/drawingml/2006/main">
              <a:srgbClr val="C8102E"/>
            </a:solidFill>
            <a:ln xmlns:a="http://schemas.openxmlformats.org/drawingml/2006/main">
              <a:prstDash val="solid"/>
            </a:ln>
          </spPr>
          <cat>
            <numRef>
              <f>'Prévisionnel'!$A$5:$A$104</f>
            </numRef>
          </cat>
          <val>
            <numRef>
              <f>'Prévisionnel'!$U$5:$U$104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Taux d'occupation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Mois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/Relationships>
</file>

<file path=xl/drawings/drawing1.xml><?xml version="1.0" encoding="utf-8"?>
<wsDr xmlns="http://schemas.openxmlformats.org/drawingml/2006/spreadsheetDrawing">
  <oneCellAnchor>
    <from>
      <col>3</col>
      <colOff>0</colOff>
      <row>2</row>
      <rowOff>0</rowOff>
    </from>
    <ext cx="504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14</col>
      <colOff>0</colOff>
      <row>2</row>
      <rowOff>0</rowOff>
    </from>
    <ext cx="468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3</col>
      <colOff>0</colOff>
      <row>19</row>
      <rowOff>0</rowOff>
    </from>
    <ext cx="504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14</col>
      <colOff>0</colOff>
      <row>19</row>
      <rowOff>0</rowOff>
    </from>
    <ext cx="4680000" cy="288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0" customWidth="1" min="1" max="1"/>
    <col width="20" customWidth="1" min="2" max="2"/>
    <col width="44" customWidth="1" min="3" max="3"/>
  </cols>
  <sheetData>
    <row r="1" ht="28" customHeight="1">
      <c r="A1" s="1" t="inlineStr">
        <is>
          <t>Business Plan Padel — Hypothèses</t>
        </is>
      </c>
    </row>
    <row r="2">
      <c r="A2" s="2" t="inlineStr">
        <is>
          <t>Saisir ou ajuster les paramètres financiers et commerciaux dans les cellules jaunes.</t>
        </is>
      </c>
    </row>
    <row r="3"/>
    <row r="4">
      <c r="A4" s="3" t="inlineStr">
        <is>
          <t>Paramètre</t>
        </is>
      </c>
      <c r="B4" s="3" t="inlineStr">
        <is>
          <t>Valeur</t>
        </is>
      </c>
      <c r="C4" s="3" t="inlineStr">
        <is>
          <t>Commentaire</t>
        </is>
      </c>
    </row>
    <row r="5">
      <c r="A5" s="4" t="inlineStr">
        <is>
          <t>Nom du projet</t>
        </is>
      </c>
      <c r="B5" s="5" t="inlineStr">
        <is>
          <t>Padel Horizon Lyon</t>
        </is>
      </c>
      <c r="C5" s="4" t="inlineStr">
        <is>
          <t>Nom commercial du complexe</t>
        </is>
      </c>
    </row>
    <row r="6">
      <c r="A6" s="6" t="inlineStr">
        <is>
          <t>Ville</t>
        </is>
      </c>
      <c r="B6" s="5" t="inlineStr">
        <is>
          <t>Lyon</t>
        </is>
      </c>
      <c r="C6" s="6" t="inlineStr">
        <is>
          <t>Ville principale d'implantation</t>
        </is>
      </c>
    </row>
    <row r="7">
      <c r="A7" s="4" t="inlineStr">
        <is>
          <t>Date de lancement</t>
        </is>
      </c>
      <c r="B7" s="43" t="n">
        <v>46082</v>
      </c>
      <c r="C7" s="4" t="inlineStr">
        <is>
          <t>Date prévisionnelle d'ouverture</t>
        </is>
      </c>
    </row>
    <row r="8">
      <c r="A8" s="6" t="inlineStr">
        <is>
          <t>Nombre de terrains indoor</t>
        </is>
      </c>
      <c r="B8" s="44" t="n">
        <v>6</v>
      </c>
      <c r="C8" s="6" t="inlineStr">
        <is>
          <t>Terrains couverts exploités</t>
        </is>
      </c>
    </row>
    <row r="9">
      <c r="A9" s="4" t="inlineStr">
        <is>
          <t>Nombre de terrains outdoor</t>
        </is>
      </c>
      <c r="B9" s="44" t="n">
        <v>2</v>
      </c>
      <c r="C9" s="4" t="inlineStr">
        <is>
          <t>Terrains extérieurs exploités</t>
        </is>
      </c>
    </row>
    <row r="10">
      <c r="A10" s="6" t="inlineStr">
        <is>
          <t>Prix moyen réservation terrain</t>
        </is>
      </c>
      <c r="B10" s="45" t="n">
        <v>36</v>
      </c>
      <c r="C10" s="6" t="inlineStr">
        <is>
          <t>Prix moyen HT par heure vendue</t>
        </is>
      </c>
    </row>
    <row r="11">
      <c r="A11" s="4" t="inlineStr">
        <is>
          <t>Taux d'occupation cible année 1</t>
        </is>
      </c>
      <c r="B11" s="46" t="n">
        <v>0.42</v>
      </c>
      <c r="C11" s="4" t="inlineStr">
        <is>
          <t>Objectif annuel d'occupation</t>
        </is>
      </c>
    </row>
    <row r="12">
      <c r="A12" s="6" t="inlineStr">
        <is>
          <t>Croissance annuelle du chiffre d'affaires</t>
        </is>
      </c>
      <c r="B12" s="46" t="n">
        <v>0.08</v>
      </c>
      <c r="C12" s="6" t="inlineStr">
        <is>
          <t>Hypothèse de croissance annuelle</t>
        </is>
      </c>
    </row>
    <row r="13">
      <c r="A13" s="4" t="inlineStr">
        <is>
          <t>Abonnement mensuel moyen</t>
        </is>
      </c>
      <c r="B13" s="45" t="n">
        <v>29</v>
      </c>
      <c r="C13" s="4" t="inlineStr">
        <is>
          <t>Prix mensuel moyen HT</t>
        </is>
      </c>
    </row>
    <row r="14">
      <c r="A14" s="6" t="inlineStr">
        <is>
          <t>Nombre d'abonnés année 1</t>
        </is>
      </c>
      <c r="B14" s="44" t="n">
        <v>180</v>
      </c>
      <c r="C14" s="6" t="inlineStr">
        <is>
          <t>Base moyenne d'abonnés en année 1</t>
        </is>
      </c>
    </row>
    <row r="15">
      <c r="A15" s="4" t="inlineStr">
        <is>
          <t>Panier moyen bar / boutique</t>
        </is>
      </c>
      <c r="B15" s="45" t="n">
        <v>8.5</v>
      </c>
      <c r="C15" s="4" t="inlineStr">
        <is>
          <t>Recette HT moyenne par heure vendue</t>
        </is>
      </c>
    </row>
    <row r="16">
      <c r="A16" s="6" t="inlineStr">
        <is>
          <t>Taux de TVA principal</t>
        </is>
      </c>
      <c r="B16" s="46" t="n">
        <v>0.2</v>
      </c>
      <c r="C16" s="6" t="inlineStr">
        <is>
          <t>Taux à ajuster selon l'activité</t>
        </is>
      </c>
    </row>
    <row r="17">
      <c r="A17" s="4" t="inlineStr">
        <is>
          <t>Taux de charges variables</t>
        </is>
      </c>
      <c r="B17" s="46" t="n">
        <v>0.12</v>
      </c>
      <c r="C17" s="4" t="inlineStr">
        <is>
          <t>Part des charges variables sur le CA</t>
        </is>
      </c>
    </row>
    <row r="18">
      <c r="A18" s="6" t="inlineStr">
        <is>
          <t>Masse salariale annuelle</t>
        </is>
      </c>
      <c r="B18" s="45" t="n">
        <v>186000</v>
      </c>
      <c r="C18" s="6" t="inlineStr">
        <is>
          <t>Salaires et charges sociales annuels</t>
        </is>
      </c>
    </row>
    <row r="19">
      <c r="A19" s="4" t="inlineStr">
        <is>
          <t>Loyer annuel</t>
        </is>
      </c>
      <c r="B19" s="45" t="n">
        <v>96000</v>
      </c>
      <c r="C19" s="4" t="inlineStr">
        <is>
          <t>Loyer annuel hors charges</t>
        </is>
      </c>
    </row>
    <row r="20">
      <c r="A20" s="6" t="inlineStr">
        <is>
          <t>Budget marketing annuel</t>
        </is>
      </c>
      <c r="B20" s="45" t="n">
        <v>24000</v>
      </c>
      <c r="C20" s="6" t="inlineStr">
        <is>
          <t>Budget marketing annuel hors TVA</t>
        </is>
      </c>
    </row>
    <row r="21">
      <c r="A21" s="4" t="inlineStr">
        <is>
          <t>Trésorerie initiale</t>
        </is>
      </c>
      <c r="B21" s="45" t="n">
        <v>150000</v>
      </c>
      <c r="C21" s="4" t="inlineStr">
        <is>
          <t>Apport et trésorerie disponible au lancement</t>
        </is>
      </c>
    </row>
    <row r="22">
      <c r="A22" s="6" t="inlineStr">
        <is>
          <t>Heures d'ouverture par terrain / mois</t>
        </is>
      </c>
      <c r="B22" s="44" t="n">
        <v>480</v>
      </c>
      <c r="C22" s="6" t="inlineStr">
        <is>
          <t>Capacité mensuelle par terrain</t>
        </is>
      </c>
    </row>
    <row r="23">
      <c r="A23" s="4" t="inlineStr">
        <is>
          <t>Taux de CA coaching / stages</t>
        </is>
      </c>
      <c r="B23" s="46" t="n">
        <v>0.1</v>
      </c>
      <c r="C23" s="4" t="inlineStr">
        <is>
          <t>Part du CA réservation générée en coaching</t>
        </is>
      </c>
    </row>
    <row r="24">
      <c r="A24" s="6" t="inlineStr">
        <is>
          <t>Autres charges mensuelles</t>
        </is>
      </c>
      <c r="B24" s="45" t="n">
        <v>2500</v>
      </c>
      <c r="C24" s="6" t="inlineStr">
        <is>
          <t>Assurances, énergie, entretien et frais divers</t>
        </is>
      </c>
    </row>
  </sheetData>
  <autoFilter ref="A4:C24"/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10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34" customWidth="1" min="2" max="2"/>
    <col width="24" customWidth="1" min="3" max="3"/>
    <col width="14" customWidth="1" min="4" max="4"/>
    <col width="11" customWidth="1" min="5" max="5"/>
    <col width="18" customWidth="1" min="6" max="6"/>
    <col width="11" customWidth="1" min="7" max="7"/>
    <col width="16" customWidth="1" min="8" max="8"/>
    <col width="16" customWidth="1" min="9" max="9"/>
    <col width="19" customWidth="1" min="10" max="10"/>
    <col width="20" customWidth="1" min="11" max="11"/>
    <col width="14" customWidth="1" min="12" max="12"/>
  </cols>
  <sheetData>
    <row r="1" ht="28" customHeight="1">
      <c r="A1" s="1" t="inlineStr">
        <is>
          <t>Investissements initiaux</t>
        </is>
      </c>
    </row>
    <row r="2">
      <c r="A2" s="2" t="inlineStr">
        <is>
          <t>Les cellules jaunes sont à compléter. Les colonnes de montants et d'amortissement sont calculées automatiquement.</t>
        </is>
      </c>
    </row>
    <row r="3"/>
    <row r="4">
      <c r="A4" s="3" t="inlineStr">
        <is>
          <t>Catégorie</t>
        </is>
      </c>
      <c r="B4" s="3" t="inlineStr">
        <is>
          <t>Désignation</t>
        </is>
      </c>
      <c r="C4" s="3" t="inlineStr">
        <is>
          <t>Fournisseur</t>
        </is>
      </c>
      <c r="D4" s="3" t="inlineStr">
        <is>
          <t>Date prévue</t>
        </is>
      </c>
      <c r="E4" s="3" t="inlineStr">
        <is>
          <t>Quantité</t>
        </is>
      </c>
      <c r="F4" s="3" t="inlineStr">
        <is>
          <t>Coût unitaire HT</t>
        </is>
      </c>
      <c r="G4" s="3" t="inlineStr">
        <is>
          <t>TVA</t>
        </is>
      </c>
      <c r="H4" s="3" t="inlineStr">
        <is>
          <t>Montant HT</t>
        </is>
      </c>
      <c r="I4" s="3" t="inlineStr">
        <is>
          <t>Montant TTC</t>
        </is>
      </c>
      <c r="J4" s="3" t="inlineStr">
        <is>
          <t>Durée amortissement</t>
        </is>
      </c>
      <c r="K4" s="3" t="inlineStr">
        <is>
          <t>Amortissement annuel</t>
        </is>
      </c>
      <c r="L4" s="3" t="inlineStr">
        <is>
          <t>Statut</t>
        </is>
      </c>
    </row>
    <row r="5">
      <c r="A5" s="11" t="inlineStr">
        <is>
          <t>Travaux</t>
        </is>
      </c>
      <c r="B5" s="11" t="inlineStr">
        <is>
          <t>Préparation du site</t>
        </is>
      </c>
      <c r="C5" s="11" t="inlineStr">
        <is>
          <t>Bâtir Rhône</t>
        </is>
      </c>
      <c r="D5" s="47" t="n">
        <v>46037</v>
      </c>
      <c r="E5" s="48" t="n">
        <v>1</v>
      </c>
      <c r="F5" s="45" t="n">
        <v>85000</v>
      </c>
      <c r="G5" s="49">
        <f>IF(A5="","",IFERROR(VLOOKUP("Taux de TVA principal",'Hypothèses'!$A$5:$B$24,2,FALSE),0))</f>
        <v/>
      </c>
      <c r="H5" s="50">
        <f>IF(A5="","",IFERROR(E5*F5,0))</f>
        <v/>
      </c>
      <c r="I5" s="50">
        <f>IF(A5="","",IFERROR(H5*(1+G5),0))</f>
        <v/>
      </c>
      <c r="J5" s="48" t="n">
        <v>15</v>
      </c>
      <c r="K5" s="50">
        <f>IF(A5="","",IFERROR(H5/J5,0))</f>
        <v/>
      </c>
      <c r="L5" s="16" t="inlineStr">
        <is>
          <t>Commandé</t>
        </is>
      </c>
    </row>
    <row r="6">
      <c r="A6" s="11" t="inlineStr">
        <is>
          <t>Terrains</t>
        </is>
      </c>
      <c r="B6" s="11" t="inlineStr">
        <is>
          <t>Terrain de padel indoor</t>
        </is>
      </c>
      <c r="C6" s="11" t="inlineStr">
        <is>
          <t>PadelTech France</t>
        </is>
      </c>
      <c r="D6" s="47" t="n">
        <v>46042</v>
      </c>
      <c r="E6" s="48" t="n">
        <v>6</v>
      </c>
      <c r="F6" s="45" t="n">
        <v>28000</v>
      </c>
      <c r="G6" s="51">
        <f>IF(A6="","",IFERROR(VLOOKUP("Taux de TVA principal",'Hypothèses'!$A$5:$B$24,2,FALSE),0))</f>
        <v/>
      </c>
      <c r="H6" s="52">
        <f>IF(A6="","",IFERROR(E6*F6,0))</f>
        <v/>
      </c>
      <c r="I6" s="52">
        <f>IF(A6="","",IFERROR(H6*(1+G6),0))</f>
        <v/>
      </c>
      <c r="J6" s="48" t="n">
        <v>10</v>
      </c>
      <c r="K6" s="52">
        <f>IF(A6="","",IFERROR(H6/J6,0))</f>
        <v/>
      </c>
      <c r="L6" s="16" t="inlineStr">
        <is>
          <t>Commandé</t>
        </is>
      </c>
    </row>
    <row r="7">
      <c r="A7" s="11" t="inlineStr">
        <is>
          <t>Terrains</t>
        </is>
      </c>
      <c r="B7" s="11" t="inlineStr">
        <is>
          <t>Terrain outdoor</t>
        </is>
      </c>
      <c r="C7" s="11" t="inlineStr">
        <is>
          <t>PadelTech France</t>
        </is>
      </c>
      <c r="D7" s="47" t="n">
        <v>46047</v>
      </c>
      <c r="E7" s="48" t="n">
        <v>2</v>
      </c>
      <c r="F7" s="45" t="n">
        <v>22000</v>
      </c>
      <c r="G7" s="49">
        <f>IF(A7="","",IFERROR(VLOOKUP("Taux de TVA principal",'Hypothèses'!$A$5:$B$24,2,FALSE),0))</f>
        <v/>
      </c>
      <c r="H7" s="50">
        <f>IF(A7="","",IFERROR(E7*F7,0))</f>
        <v/>
      </c>
      <c r="I7" s="50">
        <f>IF(A7="","",IFERROR(H7*(1+G7),0))</f>
        <v/>
      </c>
      <c r="J7" s="48" t="n">
        <v>10</v>
      </c>
      <c r="K7" s="50">
        <f>IF(A7="","",IFERROR(H7/J7,0))</f>
        <v/>
      </c>
      <c r="L7" s="16" t="inlineStr">
        <is>
          <t>Commandé</t>
        </is>
      </c>
    </row>
    <row r="8">
      <c r="A8" s="11" t="inlineStr">
        <is>
          <t>Équipements</t>
        </is>
      </c>
      <c r="B8" s="11" t="inlineStr">
        <is>
          <t>Éclairage LED</t>
        </is>
      </c>
      <c r="C8" s="11" t="inlineStr">
        <is>
          <t>Lumitech Sport</t>
        </is>
      </c>
      <c r="D8" s="47" t="n">
        <v>46054</v>
      </c>
      <c r="E8" s="48" t="n">
        <v>1</v>
      </c>
      <c r="F8" s="45" t="n">
        <v>24000</v>
      </c>
      <c r="G8" s="51">
        <f>IF(A8="","",IFERROR(VLOOKUP("Taux de TVA principal",'Hypothèses'!$A$5:$B$24,2,FALSE),0))</f>
        <v/>
      </c>
      <c r="H8" s="52">
        <f>IF(A8="","",IFERROR(E8*F8,0))</f>
        <v/>
      </c>
      <c r="I8" s="52">
        <f>IF(A8="","",IFERROR(H8*(1+G8),0))</f>
        <v/>
      </c>
      <c r="J8" s="48" t="n">
        <v>8</v>
      </c>
      <c r="K8" s="52">
        <f>IF(A8="","",IFERROR(H8/J8,0))</f>
        <v/>
      </c>
      <c r="L8" s="16" t="inlineStr">
        <is>
          <t>Prévu</t>
        </is>
      </c>
    </row>
    <row r="9">
      <c r="A9" s="11" t="inlineStr">
        <is>
          <t>Équipements</t>
        </is>
      </c>
      <c r="B9" s="11" t="inlineStr">
        <is>
          <t>Vestiaires et douches</t>
        </is>
      </c>
      <c r="C9" s="11" t="inlineStr">
        <is>
          <t>Aquadouche Pro</t>
        </is>
      </c>
      <c r="D9" s="47" t="n">
        <v>46058</v>
      </c>
      <c r="E9" s="48" t="n">
        <v>1</v>
      </c>
      <c r="F9" s="45" t="n">
        <v>42000</v>
      </c>
      <c r="G9" s="49">
        <f>IF(A9="","",IFERROR(VLOOKUP("Taux de TVA principal",'Hypothèses'!$A$5:$B$24,2,FALSE),0))</f>
        <v/>
      </c>
      <c r="H9" s="50">
        <f>IF(A9="","",IFERROR(E9*F9,0))</f>
        <v/>
      </c>
      <c r="I9" s="50">
        <f>IF(A9="","",IFERROR(H9*(1+G9),0))</f>
        <v/>
      </c>
      <c r="J9" s="48" t="n">
        <v>12</v>
      </c>
      <c r="K9" s="50">
        <f>IF(A9="","",IFERROR(H9/J9,0))</f>
        <v/>
      </c>
      <c r="L9" s="16" t="inlineStr">
        <is>
          <t>Prévu</t>
        </is>
      </c>
    </row>
    <row r="10">
      <c r="A10" s="11" t="inlineStr">
        <is>
          <t>Informatique</t>
        </is>
      </c>
      <c r="B10" s="11" t="inlineStr">
        <is>
          <t>Logiciel de réservation et caisse</t>
        </is>
      </c>
      <c r="C10" s="11" t="inlineStr">
        <is>
          <t>ClubSys</t>
        </is>
      </c>
      <c r="D10" s="47" t="n">
        <v>46063</v>
      </c>
      <c r="E10" s="48" t="n">
        <v>1</v>
      </c>
      <c r="F10" s="45" t="n">
        <v>8500</v>
      </c>
      <c r="G10" s="51">
        <f>IF(A10="","",IFERROR(VLOOKUP("Taux de TVA principal",'Hypothèses'!$A$5:$B$24,2,FALSE),0))</f>
        <v/>
      </c>
      <c r="H10" s="52">
        <f>IF(A10="","",IFERROR(E10*F10,0))</f>
        <v/>
      </c>
      <c r="I10" s="52">
        <f>IF(A10="","",IFERROR(H10*(1+G10),0))</f>
        <v/>
      </c>
      <c r="J10" s="48" t="n">
        <v>3</v>
      </c>
      <c r="K10" s="52">
        <f>IF(A10="","",IFERROR(H10/J10,0))</f>
        <v/>
      </c>
      <c r="L10" s="16" t="inlineStr">
        <is>
          <t>Prévu</t>
        </is>
      </c>
    </row>
    <row r="11">
      <c r="A11" s="11" t="inlineStr">
        <is>
          <t>Mobilier</t>
        </is>
      </c>
      <c r="B11" s="11" t="inlineStr">
        <is>
          <t>Accueil et espace club-house</t>
        </is>
      </c>
      <c r="C11" s="11" t="inlineStr">
        <is>
          <t>Mobilier Sport France</t>
        </is>
      </c>
      <c r="D11" s="47" t="n">
        <v>46065</v>
      </c>
      <c r="E11" s="48" t="n">
        <v>1</v>
      </c>
      <c r="F11" s="45" t="n">
        <v>18000</v>
      </c>
      <c r="G11" s="49">
        <f>IF(A11="","",IFERROR(VLOOKUP("Taux de TVA principal",'Hypothèses'!$A$5:$B$24,2,FALSE),0))</f>
        <v/>
      </c>
      <c r="H11" s="50">
        <f>IF(A11="","",IFERROR(E11*F11,0))</f>
        <v/>
      </c>
      <c r="I11" s="50">
        <f>IF(A11="","",IFERROR(H11*(1+G11),0))</f>
        <v/>
      </c>
      <c r="J11" s="48" t="n">
        <v>8</v>
      </c>
      <c r="K11" s="50">
        <f>IF(A11="","",IFERROR(H11/J11,0))</f>
        <v/>
      </c>
      <c r="L11" s="16" t="inlineStr">
        <is>
          <t>Prévu</t>
        </is>
      </c>
    </row>
    <row r="12">
      <c r="A12" s="11" t="inlineStr">
        <is>
          <t>Marketing</t>
        </is>
      </c>
      <c r="B12" s="11" t="inlineStr">
        <is>
          <t>Enseigne et lancement commercial</t>
        </is>
      </c>
      <c r="C12" s="11" t="inlineStr">
        <is>
          <t>Impact Communication</t>
        </is>
      </c>
      <c r="D12" s="47" t="n">
        <v>46068</v>
      </c>
      <c r="E12" s="48" t="n">
        <v>1</v>
      </c>
      <c r="F12" s="45" t="n">
        <v>12000</v>
      </c>
      <c r="G12" s="51">
        <f>IF(A12="","",IFERROR(VLOOKUP("Taux de TVA principal",'Hypothèses'!$A$5:$B$24,2,FALSE),0))</f>
        <v/>
      </c>
      <c r="H12" s="52">
        <f>IF(A12="","",IFERROR(E12*F12,0))</f>
        <v/>
      </c>
      <c r="I12" s="52">
        <f>IF(A12="","",IFERROR(H12*(1+G12),0))</f>
        <v/>
      </c>
      <c r="J12" s="48" t="n">
        <v>3</v>
      </c>
      <c r="K12" s="52">
        <f>IF(A12="","",IFERROR(H12/J12,0))</f>
        <v/>
      </c>
      <c r="L12" s="16" t="inlineStr">
        <is>
          <t>Prévu</t>
        </is>
      </c>
    </row>
    <row r="13">
      <c r="A13" s="11" t="inlineStr">
        <is>
          <t>Sécurité</t>
        </is>
      </c>
      <c r="B13" s="11" t="inlineStr">
        <is>
          <t>Contrôle d'accès et vidéosurveillance</t>
        </is>
      </c>
      <c r="C13" s="11" t="inlineStr">
        <is>
          <t>SecureSport</t>
        </is>
      </c>
      <c r="D13" s="47" t="n">
        <v>46071</v>
      </c>
      <c r="E13" s="48" t="n">
        <v>1</v>
      </c>
      <c r="F13" s="45" t="n">
        <v>15000</v>
      </c>
      <c r="G13" s="49">
        <f>IF(A13="","",IFERROR(VLOOKUP("Taux de TVA principal",'Hypothèses'!$A$5:$B$24,2,FALSE),0))</f>
        <v/>
      </c>
      <c r="H13" s="50">
        <f>IF(A13="","",IFERROR(E13*F13,0))</f>
        <v/>
      </c>
      <c r="I13" s="50">
        <f>IF(A13="","",IFERROR(H13*(1+G13),0))</f>
        <v/>
      </c>
      <c r="J13" s="48" t="n">
        <v>5</v>
      </c>
      <c r="K13" s="50">
        <f>IF(A13="","",IFERROR(H13/J13,0))</f>
        <v/>
      </c>
      <c r="L13" s="16" t="inlineStr">
        <is>
          <t>Prévu</t>
        </is>
      </c>
    </row>
    <row r="14">
      <c r="A14" s="11" t="n"/>
      <c r="B14" s="11" t="n"/>
      <c r="C14" s="11" t="n"/>
      <c r="D14" s="47" t="n"/>
      <c r="E14" s="48" t="n"/>
      <c r="F14" s="45" t="n"/>
      <c r="G14" s="51">
        <f>IF(A14="","",IFERROR(VLOOKUP("Taux de TVA principal",'Hypothèses'!$A$5:$B$24,2,FALSE),0))</f>
        <v/>
      </c>
      <c r="H14" s="52">
        <f>IF(A14="","",IFERROR(E14*F14,0))</f>
        <v/>
      </c>
      <c r="I14" s="52">
        <f>IF(A14="","",IFERROR(H14*(1+G14),0))</f>
        <v/>
      </c>
      <c r="J14" s="48" t="n"/>
      <c r="K14" s="52">
        <f>IF(A14="","",IFERROR(H14/J14,0))</f>
        <v/>
      </c>
      <c r="L14" s="16" t="n"/>
    </row>
    <row r="15">
      <c r="A15" s="11" t="n"/>
      <c r="B15" s="11" t="n"/>
      <c r="C15" s="11" t="n"/>
      <c r="D15" s="47" t="n"/>
      <c r="E15" s="48" t="n"/>
      <c r="F15" s="45" t="n"/>
      <c r="G15" s="49">
        <f>IF(A15="","",IFERROR(VLOOKUP("Taux de TVA principal",'Hypothèses'!$A$5:$B$24,2,FALSE),0))</f>
        <v/>
      </c>
      <c r="H15" s="50">
        <f>IF(A15="","",IFERROR(E15*F15,0))</f>
        <v/>
      </c>
      <c r="I15" s="50">
        <f>IF(A15="","",IFERROR(H15*(1+G15),0))</f>
        <v/>
      </c>
      <c r="J15" s="48" t="n"/>
      <c r="K15" s="50">
        <f>IF(A15="","",IFERROR(H15/J15,0))</f>
        <v/>
      </c>
      <c r="L15" s="16" t="n"/>
    </row>
    <row r="16">
      <c r="A16" s="11" t="n"/>
      <c r="B16" s="11" t="n"/>
      <c r="C16" s="11" t="n"/>
      <c r="D16" s="47" t="n"/>
      <c r="E16" s="48" t="n"/>
      <c r="F16" s="45" t="n"/>
      <c r="G16" s="51">
        <f>IF(A16="","",IFERROR(VLOOKUP("Taux de TVA principal",'Hypothèses'!$A$5:$B$24,2,FALSE),0))</f>
        <v/>
      </c>
      <c r="H16" s="52">
        <f>IF(A16="","",IFERROR(E16*F16,0))</f>
        <v/>
      </c>
      <c r="I16" s="52">
        <f>IF(A16="","",IFERROR(H16*(1+G16),0))</f>
        <v/>
      </c>
      <c r="J16" s="48" t="n"/>
      <c r="K16" s="52">
        <f>IF(A16="","",IFERROR(H16/J16,0))</f>
        <v/>
      </c>
      <c r="L16" s="16" t="n"/>
    </row>
    <row r="17">
      <c r="A17" s="11" t="n"/>
      <c r="B17" s="11" t="n"/>
      <c r="C17" s="11" t="n"/>
      <c r="D17" s="47" t="n"/>
      <c r="E17" s="48" t="n"/>
      <c r="F17" s="45" t="n"/>
      <c r="G17" s="49">
        <f>IF(A17="","",IFERROR(VLOOKUP("Taux de TVA principal",'Hypothèses'!$A$5:$B$24,2,FALSE),0))</f>
        <v/>
      </c>
      <c r="H17" s="50">
        <f>IF(A17="","",IFERROR(E17*F17,0))</f>
        <v/>
      </c>
      <c r="I17" s="50">
        <f>IF(A17="","",IFERROR(H17*(1+G17),0))</f>
        <v/>
      </c>
      <c r="J17" s="48" t="n"/>
      <c r="K17" s="50">
        <f>IF(A17="","",IFERROR(H17/J17,0))</f>
        <v/>
      </c>
      <c r="L17" s="16" t="n"/>
    </row>
    <row r="18">
      <c r="A18" s="11" t="n"/>
      <c r="B18" s="11" t="n"/>
      <c r="C18" s="11" t="n"/>
      <c r="D18" s="47" t="n"/>
      <c r="E18" s="48" t="n"/>
      <c r="F18" s="45" t="n"/>
      <c r="G18" s="51">
        <f>IF(A18="","",IFERROR(VLOOKUP("Taux de TVA principal",'Hypothèses'!$A$5:$B$24,2,FALSE),0))</f>
        <v/>
      </c>
      <c r="H18" s="52">
        <f>IF(A18="","",IFERROR(E18*F18,0))</f>
        <v/>
      </c>
      <c r="I18" s="52">
        <f>IF(A18="","",IFERROR(H18*(1+G18),0))</f>
        <v/>
      </c>
      <c r="J18" s="48" t="n"/>
      <c r="K18" s="52">
        <f>IF(A18="","",IFERROR(H18/J18,0))</f>
        <v/>
      </c>
      <c r="L18" s="16" t="n"/>
    </row>
    <row r="19">
      <c r="A19" s="11" t="n"/>
      <c r="B19" s="11" t="n"/>
      <c r="C19" s="11" t="n"/>
      <c r="D19" s="47" t="n"/>
      <c r="E19" s="48" t="n"/>
      <c r="F19" s="45" t="n"/>
      <c r="G19" s="49">
        <f>IF(A19="","",IFERROR(VLOOKUP("Taux de TVA principal",'Hypothèses'!$A$5:$B$24,2,FALSE),0))</f>
        <v/>
      </c>
      <c r="H19" s="50">
        <f>IF(A19="","",IFERROR(E19*F19,0))</f>
        <v/>
      </c>
      <c r="I19" s="50">
        <f>IF(A19="","",IFERROR(H19*(1+G19),0))</f>
        <v/>
      </c>
      <c r="J19" s="48" t="n"/>
      <c r="K19" s="50">
        <f>IF(A19="","",IFERROR(H19/J19,0))</f>
        <v/>
      </c>
      <c r="L19" s="16" t="n"/>
    </row>
    <row r="20">
      <c r="A20" s="11" t="n"/>
      <c r="B20" s="11" t="n"/>
      <c r="C20" s="11" t="n"/>
      <c r="D20" s="47" t="n"/>
      <c r="E20" s="48" t="n"/>
      <c r="F20" s="45" t="n"/>
      <c r="G20" s="51">
        <f>IF(A20="","",IFERROR(VLOOKUP("Taux de TVA principal",'Hypothèses'!$A$5:$B$24,2,FALSE),0))</f>
        <v/>
      </c>
      <c r="H20" s="52">
        <f>IF(A20="","",IFERROR(E20*F20,0))</f>
        <v/>
      </c>
      <c r="I20" s="52">
        <f>IF(A20="","",IFERROR(H20*(1+G20),0))</f>
        <v/>
      </c>
      <c r="J20" s="48" t="n"/>
      <c r="K20" s="52">
        <f>IF(A20="","",IFERROR(H20/J20,0))</f>
        <v/>
      </c>
      <c r="L20" s="16" t="n"/>
    </row>
    <row r="21">
      <c r="A21" s="11" t="n"/>
      <c r="B21" s="11" t="n"/>
      <c r="C21" s="11" t="n"/>
      <c r="D21" s="47" t="n"/>
      <c r="E21" s="48" t="n"/>
      <c r="F21" s="45" t="n"/>
      <c r="G21" s="49">
        <f>IF(A21="","",IFERROR(VLOOKUP("Taux de TVA principal",'Hypothèses'!$A$5:$B$24,2,FALSE),0))</f>
        <v/>
      </c>
      <c r="H21" s="50">
        <f>IF(A21="","",IFERROR(E21*F21,0))</f>
        <v/>
      </c>
      <c r="I21" s="50">
        <f>IF(A21="","",IFERROR(H21*(1+G21),0))</f>
        <v/>
      </c>
      <c r="J21" s="48" t="n"/>
      <c r="K21" s="50">
        <f>IF(A21="","",IFERROR(H21/J21,0))</f>
        <v/>
      </c>
      <c r="L21" s="16" t="n"/>
    </row>
    <row r="22">
      <c r="A22" s="11" t="n"/>
      <c r="B22" s="11" t="n"/>
      <c r="C22" s="11" t="n"/>
      <c r="D22" s="47" t="n"/>
      <c r="E22" s="48" t="n"/>
      <c r="F22" s="45" t="n"/>
      <c r="G22" s="51">
        <f>IF(A22="","",IFERROR(VLOOKUP("Taux de TVA principal",'Hypothèses'!$A$5:$B$24,2,FALSE),0))</f>
        <v/>
      </c>
      <c r="H22" s="52">
        <f>IF(A22="","",IFERROR(E22*F22,0))</f>
        <v/>
      </c>
      <c r="I22" s="52">
        <f>IF(A22="","",IFERROR(H22*(1+G22),0))</f>
        <v/>
      </c>
      <c r="J22" s="48" t="n"/>
      <c r="K22" s="52">
        <f>IF(A22="","",IFERROR(H22/J22,0))</f>
        <v/>
      </c>
      <c r="L22" s="16" t="n"/>
    </row>
    <row r="23">
      <c r="A23" s="11" t="n"/>
      <c r="B23" s="11" t="n"/>
      <c r="C23" s="11" t="n"/>
      <c r="D23" s="47" t="n"/>
      <c r="E23" s="48" t="n"/>
      <c r="F23" s="45" t="n"/>
      <c r="G23" s="49">
        <f>IF(A23="","",IFERROR(VLOOKUP("Taux de TVA principal",'Hypothèses'!$A$5:$B$24,2,FALSE),0))</f>
        <v/>
      </c>
      <c r="H23" s="50">
        <f>IF(A23="","",IFERROR(E23*F23,0))</f>
        <v/>
      </c>
      <c r="I23" s="50">
        <f>IF(A23="","",IFERROR(H23*(1+G23),0))</f>
        <v/>
      </c>
      <c r="J23" s="48" t="n"/>
      <c r="K23" s="50">
        <f>IF(A23="","",IFERROR(H23/J23,0))</f>
        <v/>
      </c>
      <c r="L23" s="16" t="n"/>
    </row>
    <row r="24">
      <c r="A24" s="11" t="n"/>
      <c r="B24" s="11" t="n"/>
      <c r="C24" s="11" t="n"/>
      <c r="D24" s="47" t="n"/>
      <c r="E24" s="48" t="n"/>
      <c r="F24" s="45" t="n"/>
      <c r="G24" s="51">
        <f>IF(A24="","",IFERROR(VLOOKUP("Taux de TVA principal",'Hypothèses'!$A$5:$B$24,2,FALSE),0))</f>
        <v/>
      </c>
      <c r="H24" s="52">
        <f>IF(A24="","",IFERROR(E24*F24,0))</f>
        <v/>
      </c>
      <c r="I24" s="52">
        <f>IF(A24="","",IFERROR(H24*(1+G24),0))</f>
        <v/>
      </c>
      <c r="J24" s="48" t="n"/>
      <c r="K24" s="52">
        <f>IF(A24="","",IFERROR(H24/J24,0))</f>
        <v/>
      </c>
      <c r="L24" s="16" t="n"/>
    </row>
    <row r="25">
      <c r="A25" s="11" t="n"/>
      <c r="B25" s="11" t="n"/>
      <c r="C25" s="11" t="n"/>
      <c r="D25" s="47" t="n"/>
      <c r="E25" s="48" t="n"/>
      <c r="F25" s="45" t="n"/>
      <c r="G25" s="49">
        <f>IF(A25="","",IFERROR(VLOOKUP("Taux de TVA principal",'Hypothèses'!$A$5:$B$24,2,FALSE),0))</f>
        <v/>
      </c>
      <c r="H25" s="50">
        <f>IF(A25="","",IFERROR(E25*F25,0))</f>
        <v/>
      </c>
      <c r="I25" s="50">
        <f>IF(A25="","",IFERROR(H25*(1+G25),0))</f>
        <v/>
      </c>
      <c r="J25" s="48" t="n"/>
      <c r="K25" s="50">
        <f>IF(A25="","",IFERROR(H25/J25,0))</f>
        <v/>
      </c>
      <c r="L25" s="16" t="n"/>
    </row>
    <row r="26">
      <c r="A26" s="11" t="n"/>
      <c r="B26" s="11" t="n"/>
      <c r="C26" s="11" t="n"/>
      <c r="D26" s="47" t="n"/>
      <c r="E26" s="48" t="n"/>
      <c r="F26" s="45" t="n"/>
      <c r="G26" s="51">
        <f>IF(A26="","",IFERROR(VLOOKUP("Taux de TVA principal",'Hypothèses'!$A$5:$B$24,2,FALSE),0))</f>
        <v/>
      </c>
      <c r="H26" s="52">
        <f>IF(A26="","",IFERROR(E26*F26,0))</f>
        <v/>
      </c>
      <c r="I26" s="52">
        <f>IF(A26="","",IFERROR(H26*(1+G26),0))</f>
        <v/>
      </c>
      <c r="J26" s="48" t="n"/>
      <c r="K26" s="52">
        <f>IF(A26="","",IFERROR(H26/J26,0))</f>
        <v/>
      </c>
      <c r="L26" s="16" t="n"/>
    </row>
    <row r="27">
      <c r="A27" s="11" t="n"/>
      <c r="B27" s="11" t="n"/>
      <c r="C27" s="11" t="n"/>
      <c r="D27" s="47" t="n"/>
      <c r="E27" s="48" t="n"/>
      <c r="F27" s="45" t="n"/>
      <c r="G27" s="49">
        <f>IF(A27="","",IFERROR(VLOOKUP("Taux de TVA principal",'Hypothèses'!$A$5:$B$24,2,FALSE),0))</f>
        <v/>
      </c>
      <c r="H27" s="50">
        <f>IF(A27="","",IFERROR(E27*F27,0))</f>
        <v/>
      </c>
      <c r="I27" s="50">
        <f>IF(A27="","",IFERROR(H27*(1+G27),0))</f>
        <v/>
      </c>
      <c r="J27" s="48" t="n"/>
      <c r="K27" s="50">
        <f>IF(A27="","",IFERROR(H27/J27,0))</f>
        <v/>
      </c>
      <c r="L27" s="16" t="n"/>
    </row>
    <row r="28">
      <c r="A28" s="11" t="n"/>
      <c r="B28" s="11" t="n"/>
      <c r="C28" s="11" t="n"/>
      <c r="D28" s="47" t="n"/>
      <c r="E28" s="48" t="n"/>
      <c r="F28" s="45" t="n"/>
      <c r="G28" s="51">
        <f>IF(A28="","",IFERROR(VLOOKUP("Taux de TVA principal",'Hypothèses'!$A$5:$B$24,2,FALSE),0))</f>
        <v/>
      </c>
      <c r="H28" s="52">
        <f>IF(A28="","",IFERROR(E28*F28,0))</f>
        <v/>
      </c>
      <c r="I28" s="52">
        <f>IF(A28="","",IFERROR(H28*(1+G28),0))</f>
        <v/>
      </c>
      <c r="J28" s="48" t="n"/>
      <c r="K28" s="52">
        <f>IF(A28="","",IFERROR(H28/J28,0))</f>
        <v/>
      </c>
      <c r="L28" s="16" t="n"/>
    </row>
    <row r="29">
      <c r="A29" s="11" t="n"/>
      <c r="B29" s="11" t="n"/>
      <c r="C29" s="11" t="n"/>
      <c r="D29" s="47" t="n"/>
      <c r="E29" s="48" t="n"/>
      <c r="F29" s="45" t="n"/>
      <c r="G29" s="49">
        <f>IF(A29="","",IFERROR(VLOOKUP("Taux de TVA principal",'Hypothèses'!$A$5:$B$24,2,FALSE),0))</f>
        <v/>
      </c>
      <c r="H29" s="50">
        <f>IF(A29="","",IFERROR(E29*F29,0))</f>
        <v/>
      </c>
      <c r="I29" s="50">
        <f>IF(A29="","",IFERROR(H29*(1+G29),0))</f>
        <v/>
      </c>
      <c r="J29" s="48" t="n"/>
      <c r="K29" s="50">
        <f>IF(A29="","",IFERROR(H29/J29,0))</f>
        <v/>
      </c>
      <c r="L29" s="16" t="n"/>
    </row>
    <row r="30">
      <c r="A30" s="11" t="n"/>
      <c r="B30" s="11" t="n"/>
      <c r="C30" s="11" t="n"/>
      <c r="D30" s="47" t="n"/>
      <c r="E30" s="48" t="n"/>
      <c r="F30" s="45" t="n"/>
      <c r="G30" s="51">
        <f>IF(A30="","",IFERROR(VLOOKUP("Taux de TVA principal",'Hypothèses'!$A$5:$B$24,2,FALSE),0))</f>
        <v/>
      </c>
      <c r="H30" s="52">
        <f>IF(A30="","",IFERROR(E30*F30,0))</f>
        <v/>
      </c>
      <c r="I30" s="52">
        <f>IF(A30="","",IFERROR(H30*(1+G30),0))</f>
        <v/>
      </c>
      <c r="J30" s="48" t="n"/>
      <c r="K30" s="52">
        <f>IF(A30="","",IFERROR(H30/J30,0))</f>
        <v/>
      </c>
      <c r="L30" s="16" t="n"/>
    </row>
    <row r="31">
      <c r="A31" s="11" t="n"/>
      <c r="B31" s="11" t="n"/>
      <c r="C31" s="11" t="n"/>
      <c r="D31" s="47" t="n"/>
      <c r="E31" s="48" t="n"/>
      <c r="F31" s="45" t="n"/>
      <c r="G31" s="49">
        <f>IF(A31="","",IFERROR(VLOOKUP("Taux de TVA principal",'Hypothèses'!$A$5:$B$24,2,FALSE),0))</f>
        <v/>
      </c>
      <c r="H31" s="50">
        <f>IF(A31="","",IFERROR(E31*F31,0))</f>
        <v/>
      </c>
      <c r="I31" s="50">
        <f>IF(A31="","",IFERROR(H31*(1+G31),0))</f>
        <v/>
      </c>
      <c r="J31" s="48" t="n"/>
      <c r="K31" s="50">
        <f>IF(A31="","",IFERROR(H31/J31,0))</f>
        <v/>
      </c>
      <c r="L31" s="16" t="n"/>
    </row>
    <row r="32">
      <c r="A32" s="11" t="n"/>
      <c r="B32" s="11" t="n"/>
      <c r="C32" s="11" t="n"/>
      <c r="D32" s="47" t="n"/>
      <c r="E32" s="48" t="n"/>
      <c r="F32" s="45" t="n"/>
      <c r="G32" s="51">
        <f>IF(A32="","",IFERROR(VLOOKUP("Taux de TVA principal",'Hypothèses'!$A$5:$B$24,2,FALSE),0))</f>
        <v/>
      </c>
      <c r="H32" s="52">
        <f>IF(A32="","",IFERROR(E32*F32,0))</f>
        <v/>
      </c>
      <c r="I32" s="52">
        <f>IF(A32="","",IFERROR(H32*(1+G32),0))</f>
        <v/>
      </c>
      <c r="J32" s="48" t="n"/>
      <c r="K32" s="52">
        <f>IF(A32="","",IFERROR(H32/J32,0))</f>
        <v/>
      </c>
      <c r="L32" s="16" t="n"/>
    </row>
    <row r="33">
      <c r="A33" s="11" t="n"/>
      <c r="B33" s="11" t="n"/>
      <c r="C33" s="11" t="n"/>
      <c r="D33" s="47" t="n"/>
      <c r="E33" s="48" t="n"/>
      <c r="F33" s="45" t="n"/>
      <c r="G33" s="49">
        <f>IF(A33="","",IFERROR(VLOOKUP("Taux de TVA principal",'Hypothèses'!$A$5:$B$24,2,FALSE),0))</f>
        <v/>
      </c>
      <c r="H33" s="50">
        <f>IF(A33="","",IFERROR(E33*F33,0))</f>
        <v/>
      </c>
      <c r="I33" s="50">
        <f>IF(A33="","",IFERROR(H33*(1+G33),0))</f>
        <v/>
      </c>
      <c r="J33" s="48" t="n"/>
      <c r="K33" s="50">
        <f>IF(A33="","",IFERROR(H33/J33,0))</f>
        <v/>
      </c>
      <c r="L33" s="16" t="n"/>
    </row>
    <row r="34">
      <c r="A34" s="11" t="n"/>
      <c r="B34" s="11" t="n"/>
      <c r="C34" s="11" t="n"/>
      <c r="D34" s="47" t="n"/>
      <c r="E34" s="48" t="n"/>
      <c r="F34" s="45" t="n"/>
      <c r="G34" s="51">
        <f>IF(A34="","",IFERROR(VLOOKUP("Taux de TVA principal",'Hypothèses'!$A$5:$B$24,2,FALSE),0))</f>
        <v/>
      </c>
      <c r="H34" s="52">
        <f>IF(A34="","",IFERROR(E34*F34,0))</f>
        <v/>
      </c>
      <c r="I34" s="52">
        <f>IF(A34="","",IFERROR(H34*(1+G34),0))</f>
        <v/>
      </c>
      <c r="J34" s="48" t="n"/>
      <c r="K34" s="52">
        <f>IF(A34="","",IFERROR(H34/J34,0))</f>
        <v/>
      </c>
      <c r="L34" s="16" t="n"/>
    </row>
    <row r="35">
      <c r="A35" s="11" t="n"/>
      <c r="B35" s="11" t="n"/>
      <c r="C35" s="11" t="n"/>
      <c r="D35" s="47" t="n"/>
      <c r="E35" s="48" t="n"/>
      <c r="F35" s="45" t="n"/>
      <c r="G35" s="49">
        <f>IF(A35="","",IFERROR(VLOOKUP("Taux de TVA principal",'Hypothèses'!$A$5:$B$24,2,FALSE),0))</f>
        <v/>
      </c>
      <c r="H35" s="50">
        <f>IF(A35="","",IFERROR(E35*F35,0))</f>
        <v/>
      </c>
      <c r="I35" s="50">
        <f>IF(A35="","",IFERROR(H35*(1+G35),0))</f>
        <v/>
      </c>
      <c r="J35" s="48" t="n"/>
      <c r="K35" s="50">
        <f>IF(A35="","",IFERROR(H35/J35,0))</f>
        <v/>
      </c>
      <c r="L35" s="16" t="n"/>
    </row>
    <row r="36">
      <c r="A36" s="11" t="n"/>
      <c r="B36" s="11" t="n"/>
      <c r="C36" s="11" t="n"/>
      <c r="D36" s="47" t="n"/>
      <c r="E36" s="48" t="n"/>
      <c r="F36" s="45" t="n"/>
      <c r="G36" s="51">
        <f>IF(A36="","",IFERROR(VLOOKUP("Taux de TVA principal",'Hypothèses'!$A$5:$B$24,2,FALSE),0))</f>
        <v/>
      </c>
      <c r="H36" s="52">
        <f>IF(A36="","",IFERROR(E36*F36,0))</f>
        <v/>
      </c>
      <c r="I36" s="52">
        <f>IF(A36="","",IFERROR(H36*(1+G36),0))</f>
        <v/>
      </c>
      <c r="J36" s="48" t="n"/>
      <c r="K36" s="52">
        <f>IF(A36="","",IFERROR(H36/J36,0))</f>
        <v/>
      </c>
      <c r="L36" s="16" t="n"/>
    </row>
    <row r="37">
      <c r="A37" s="11" t="n"/>
      <c r="B37" s="11" t="n"/>
      <c r="C37" s="11" t="n"/>
      <c r="D37" s="47" t="n"/>
      <c r="E37" s="48" t="n"/>
      <c r="F37" s="45" t="n"/>
      <c r="G37" s="49">
        <f>IF(A37="","",IFERROR(VLOOKUP("Taux de TVA principal",'Hypothèses'!$A$5:$B$24,2,FALSE),0))</f>
        <v/>
      </c>
      <c r="H37" s="50">
        <f>IF(A37="","",IFERROR(E37*F37,0))</f>
        <v/>
      </c>
      <c r="I37" s="50">
        <f>IF(A37="","",IFERROR(H37*(1+G37),0))</f>
        <v/>
      </c>
      <c r="J37" s="48" t="n"/>
      <c r="K37" s="50">
        <f>IF(A37="","",IFERROR(H37/J37,0))</f>
        <v/>
      </c>
      <c r="L37" s="16" t="n"/>
    </row>
    <row r="38">
      <c r="A38" s="11" t="n"/>
      <c r="B38" s="11" t="n"/>
      <c r="C38" s="11" t="n"/>
      <c r="D38" s="47" t="n"/>
      <c r="E38" s="48" t="n"/>
      <c r="F38" s="45" t="n"/>
      <c r="G38" s="51">
        <f>IF(A38="","",IFERROR(VLOOKUP("Taux de TVA principal",'Hypothèses'!$A$5:$B$24,2,FALSE),0))</f>
        <v/>
      </c>
      <c r="H38" s="52">
        <f>IF(A38="","",IFERROR(E38*F38,0))</f>
        <v/>
      </c>
      <c r="I38" s="52">
        <f>IF(A38="","",IFERROR(H38*(1+G38),0))</f>
        <v/>
      </c>
      <c r="J38" s="48" t="n"/>
      <c r="K38" s="52">
        <f>IF(A38="","",IFERROR(H38/J38,0))</f>
        <v/>
      </c>
      <c r="L38" s="16" t="n"/>
    </row>
    <row r="39">
      <c r="A39" s="11" t="n"/>
      <c r="B39" s="11" t="n"/>
      <c r="C39" s="11" t="n"/>
      <c r="D39" s="47" t="n"/>
      <c r="E39" s="48" t="n"/>
      <c r="F39" s="45" t="n"/>
      <c r="G39" s="49">
        <f>IF(A39="","",IFERROR(VLOOKUP("Taux de TVA principal",'Hypothèses'!$A$5:$B$24,2,FALSE),0))</f>
        <v/>
      </c>
      <c r="H39" s="50">
        <f>IF(A39="","",IFERROR(E39*F39,0))</f>
        <v/>
      </c>
      <c r="I39" s="50">
        <f>IF(A39="","",IFERROR(H39*(1+G39),0))</f>
        <v/>
      </c>
      <c r="J39" s="48" t="n"/>
      <c r="K39" s="50">
        <f>IF(A39="","",IFERROR(H39/J39,0))</f>
        <v/>
      </c>
      <c r="L39" s="16" t="n"/>
    </row>
    <row r="40">
      <c r="A40" s="11" t="n"/>
      <c r="B40" s="11" t="n"/>
      <c r="C40" s="11" t="n"/>
      <c r="D40" s="47" t="n"/>
      <c r="E40" s="48" t="n"/>
      <c r="F40" s="45" t="n"/>
      <c r="G40" s="51">
        <f>IF(A40="","",IFERROR(VLOOKUP("Taux de TVA principal",'Hypothèses'!$A$5:$B$24,2,FALSE),0))</f>
        <v/>
      </c>
      <c r="H40" s="52">
        <f>IF(A40="","",IFERROR(E40*F40,0))</f>
        <v/>
      </c>
      <c r="I40" s="52">
        <f>IF(A40="","",IFERROR(H40*(1+G40),0))</f>
        <v/>
      </c>
      <c r="J40" s="48" t="n"/>
      <c r="K40" s="52">
        <f>IF(A40="","",IFERROR(H40/J40,0))</f>
        <v/>
      </c>
      <c r="L40" s="16" t="n"/>
    </row>
    <row r="41">
      <c r="A41" s="11" t="n"/>
      <c r="B41" s="11" t="n"/>
      <c r="C41" s="11" t="n"/>
      <c r="D41" s="47" t="n"/>
      <c r="E41" s="48" t="n"/>
      <c r="F41" s="45" t="n"/>
      <c r="G41" s="49">
        <f>IF(A41="","",IFERROR(VLOOKUP("Taux de TVA principal",'Hypothèses'!$A$5:$B$24,2,FALSE),0))</f>
        <v/>
      </c>
      <c r="H41" s="50">
        <f>IF(A41="","",IFERROR(E41*F41,0))</f>
        <v/>
      </c>
      <c r="I41" s="50">
        <f>IF(A41="","",IFERROR(H41*(1+G41),0))</f>
        <v/>
      </c>
      <c r="J41" s="48" t="n"/>
      <c r="K41" s="50">
        <f>IF(A41="","",IFERROR(H41/J41,0))</f>
        <v/>
      </c>
      <c r="L41" s="16" t="n"/>
    </row>
    <row r="42">
      <c r="A42" s="11" t="n"/>
      <c r="B42" s="11" t="n"/>
      <c r="C42" s="11" t="n"/>
      <c r="D42" s="47" t="n"/>
      <c r="E42" s="48" t="n"/>
      <c r="F42" s="45" t="n"/>
      <c r="G42" s="51">
        <f>IF(A42="","",IFERROR(VLOOKUP("Taux de TVA principal",'Hypothèses'!$A$5:$B$24,2,FALSE),0))</f>
        <v/>
      </c>
      <c r="H42" s="52">
        <f>IF(A42="","",IFERROR(E42*F42,0))</f>
        <v/>
      </c>
      <c r="I42" s="52">
        <f>IF(A42="","",IFERROR(H42*(1+G42),0))</f>
        <v/>
      </c>
      <c r="J42" s="48" t="n"/>
      <c r="K42" s="52">
        <f>IF(A42="","",IFERROR(H42/J42,0))</f>
        <v/>
      </c>
      <c r="L42" s="16" t="n"/>
    </row>
    <row r="43">
      <c r="A43" s="11" t="n"/>
      <c r="B43" s="11" t="n"/>
      <c r="C43" s="11" t="n"/>
      <c r="D43" s="47" t="n"/>
      <c r="E43" s="48" t="n"/>
      <c r="F43" s="45" t="n"/>
      <c r="G43" s="49">
        <f>IF(A43="","",IFERROR(VLOOKUP("Taux de TVA principal",'Hypothèses'!$A$5:$B$24,2,FALSE),0))</f>
        <v/>
      </c>
      <c r="H43" s="50">
        <f>IF(A43="","",IFERROR(E43*F43,0))</f>
        <v/>
      </c>
      <c r="I43" s="50">
        <f>IF(A43="","",IFERROR(H43*(1+G43),0))</f>
        <v/>
      </c>
      <c r="J43" s="48" t="n"/>
      <c r="K43" s="50">
        <f>IF(A43="","",IFERROR(H43/J43,0))</f>
        <v/>
      </c>
      <c r="L43" s="16" t="n"/>
    </row>
    <row r="44">
      <c r="A44" s="11" t="n"/>
      <c r="B44" s="11" t="n"/>
      <c r="C44" s="11" t="n"/>
      <c r="D44" s="47" t="n"/>
      <c r="E44" s="48" t="n"/>
      <c r="F44" s="45" t="n"/>
      <c r="G44" s="51">
        <f>IF(A44="","",IFERROR(VLOOKUP("Taux de TVA principal",'Hypothèses'!$A$5:$B$24,2,FALSE),0))</f>
        <v/>
      </c>
      <c r="H44" s="52">
        <f>IF(A44="","",IFERROR(E44*F44,0))</f>
        <v/>
      </c>
      <c r="I44" s="52">
        <f>IF(A44="","",IFERROR(H44*(1+G44),0))</f>
        <v/>
      </c>
      <c r="J44" s="48" t="n"/>
      <c r="K44" s="52">
        <f>IF(A44="","",IFERROR(H44/J44,0))</f>
        <v/>
      </c>
      <c r="L44" s="16" t="n"/>
    </row>
    <row r="45">
      <c r="A45" s="11" t="n"/>
      <c r="B45" s="11" t="n"/>
      <c r="C45" s="11" t="n"/>
      <c r="D45" s="47" t="n"/>
      <c r="E45" s="48" t="n"/>
      <c r="F45" s="45" t="n"/>
      <c r="G45" s="49">
        <f>IF(A45="","",IFERROR(VLOOKUP("Taux de TVA principal",'Hypothèses'!$A$5:$B$24,2,FALSE),0))</f>
        <v/>
      </c>
      <c r="H45" s="50">
        <f>IF(A45="","",IFERROR(E45*F45,0))</f>
        <v/>
      </c>
      <c r="I45" s="50">
        <f>IF(A45="","",IFERROR(H45*(1+G45),0))</f>
        <v/>
      </c>
      <c r="J45" s="48" t="n"/>
      <c r="K45" s="50">
        <f>IF(A45="","",IFERROR(H45/J45,0))</f>
        <v/>
      </c>
      <c r="L45" s="16" t="n"/>
    </row>
    <row r="46">
      <c r="A46" s="11" t="n"/>
      <c r="B46" s="11" t="n"/>
      <c r="C46" s="11" t="n"/>
      <c r="D46" s="47" t="n"/>
      <c r="E46" s="48" t="n"/>
      <c r="F46" s="45" t="n"/>
      <c r="G46" s="51">
        <f>IF(A46="","",IFERROR(VLOOKUP("Taux de TVA principal",'Hypothèses'!$A$5:$B$24,2,FALSE),0))</f>
        <v/>
      </c>
      <c r="H46" s="52">
        <f>IF(A46="","",IFERROR(E46*F46,0))</f>
        <v/>
      </c>
      <c r="I46" s="52">
        <f>IF(A46="","",IFERROR(H46*(1+G46),0))</f>
        <v/>
      </c>
      <c r="J46" s="48" t="n"/>
      <c r="K46" s="52">
        <f>IF(A46="","",IFERROR(H46/J46,0))</f>
        <v/>
      </c>
      <c r="L46" s="16" t="n"/>
    </row>
    <row r="47">
      <c r="A47" s="11" t="n"/>
      <c r="B47" s="11" t="n"/>
      <c r="C47" s="11" t="n"/>
      <c r="D47" s="47" t="n"/>
      <c r="E47" s="48" t="n"/>
      <c r="F47" s="45" t="n"/>
      <c r="G47" s="49">
        <f>IF(A47="","",IFERROR(VLOOKUP("Taux de TVA principal",'Hypothèses'!$A$5:$B$24,2,FALSE),0))</f>
        <v/>
      </c>
      <c r="H47" s="50">
        <f>IF(A47="","",IFERROR(E47*F47,0))</f>
        <v/>
      </c>
      <c r="I47" s="50">
        <f>IF(A47="","",IFERROR(H47*(1+G47),0))</f>
        <v/>
      </c>
      <c r="J47" s="48" t="n"/>
      <c r="K47" s="50">
        <f>IF(A47="","",IFERROR(H47/J47,0))</f>
        <v/>
      </c>
      <c r="L47" s="16" t="n"/>
    </row>
    <row r="48">
      <c r="A48" s="11" t="n"/>
      <c r="B48" s="11" t="n"/>
      <c r="C48" s="11" t="n"/>
      <c r="D48" s="47" t="n"/>
      <c r="E48" s="48" t="n"/>
      <c r="F48" s="45" t="n"/>
      <c r="G48" s="51">
        <f>IF(A48="","",IFERROR(VLOOKUP("Taux de TVA principal",'Hypothèses'!$A$5:$B$24,2,FALSE),0))</f>
        <v/>
      </c>
      <c r="H48" s="52">
        <f>IF(A48="","",IFERROR(E48*F48,0))</f>
        <v/>
      </c>
      <c r="I48" s="52">
        <f>IF(A48="","",IFERROR(H48*(1+G48),0))</f>
        <v/>
      </c>
      <c r="J48" s="48" t="n"/>
      <c r="K48" s="52">
        <f>IF(A48="","",IFERROR(H48/J48,0))</f>
        <v/>
      </c>
      <c r="L48" s="16" t="n"/>
    </row>
    <row r="49">
      <c r="A49" s="11" t="n"/>
      <c r="B49" s="11" t="n"/>
      <c r="C49" s="11" t="n"/>
      <c r="D49" s="47" t="n"/>
      <c r="E49" s="48" t="n"/>
      <c r="F49" s="45" t="n"/>
      <c r="G49" s="49">
        <f>IF(A49="","",IFERROR(VLOOKUP("Taux de TVA principal",'Hypothèses'!$A$5:$B$24,2,FALSE),0))</f>
        <v/>
      </c>
      <c r="H49" s="50">
        <f>IF(A49="","",IFERROR(E49*F49,0))</f>
        <v/>
      </c>
      <c r="I49" s="50">
        <f>IF(A49="","",IFERROR(H49*(1+G49),0))</f>
        <v/>
      </c>
      <c r="J49" s="48" t="n"/>
      <c r="K49" s="50">
        <f>IF(A49="","",IFERROR(H49/J49,0))</f>
        <v/>
      </c>
      <c r="L49" s="16" t="n"/>
    </row>
    <row r="50">
      <c r="A50" s="11" t="n"/>
      <c r="B50" s="11" t="n"/>
      <c r="C50" s="11" t="n"/>
      <c r="D50" s="47" t="n"/>
      <c r="E50" s="48" t="n"/>
      <c r="F50" s="45" t="n"/>
      <c r="G50" s="51">
        <f>IF(A50="","",IFERROR(VLOOKUP("Taux de TVA principal",'Hypothèses'!$A$5:$B$24,2,FALSE),0))</f>
        <v/>
      </c>
      <c r="H50" s="52">
        <f>IF(A50="","",IFERROR(E50*F50,0))</f>
        <v/>
      </c>
      <c r="I50" s="52">
        <f>IF(A50="","",IFERROR(H50*(1+G50),0))</f>
        <v/>
      </c>
      <c r="J50" s="48" t="n"/>
      <c r="K50" s="52">
        <f>IF(A50="","",IFERROR(H50/J50,0))</f>
        <v/>
      </c>
      <c r="L50" s="16" t="n"/>
    </row>
    <row r="51">
      <c r="A51" s="11" t="n"/>
      <c r="B51" s="11" t="n"/>
      <c r="C51" s="11" t="n"/>
      <c r="D51" s="47" t="n"/>
      <c r="E51" s="48" t="n"/>
      <c r="F51" s="45" t="n"/>
      <c r="G51" s="49">
        <f>IF(A51="","",IFERROR(VLOOKUP("Taux de TVA principal",'Hypothèses'!$A$5:$B$24,2,FALSE),0))</f>
        <v/>
      </c>
      <c r="H51" s="50">
        <f>IF(A51="","",IFERROR(E51*F51,0))</f>
        <v/>
      </c>
      <c r="I51" s="50">
        <f>IF(A51="","",IFERROR(H51*(1+G51),0))</f>
        <v/>
      </c>
      <c r="J51" s="48" t="n"/>
      <c r="K51" s="50">
        <f>IF(A51="","",IFERROR(H51/J51,0))</f>
        <v/>
      </c>
      <c r="L51" s="16" t="n"/>
    </row>
    <row r="52">
      <c r="A52" s="11" t="n"/>
      <c r="B52" s="11" t="n"/>
      <c r="C52" s="11" t="n"/>
      <c r="D52" s="47" t="n"/>
      <c r="E52" s="48" t="n"/>
      <c r="F52" s="45" t="n"/>
      <c r="G52" s="51">
        <f>IF(A52="","",IFERROR(VLOOKUP("Taux de TVA principal",'Hypothèses'!$A$5:$B$24,2,FALSE),0))</f>
        <v/>
      </c>
      <c r="H52" s="52">
        <f>IF(A52="","",IFERROR(E52*F52,0))</f>
        <v/>
      </c>
      <c r="I52" s="52">
        <f>IF(A52="","",IFERROR(H52*(1+G52),0))</f>
        <v/>
      </c>
      <c r="J52" s="48" t="n"/>
      <c r="K52" s="52">
        <f>IF(A52="","",IFERROR(H52/J52,0))</f>
        <v/>
      </c>
      <c r="L52" s="16" t="n"/>
    </row>
    <row r="53">
      <c r="A53" s="11" t="n"/>
      <c r="B53" s="11" t="n"/>
      <c r="C53" s="11" t="n"/>
      <c r="D53" s="47" t="n"/>
      <c r="E53" s="48" t="n"/>
      <c r="F53" s="45" t="n"/>
      <c r="G53" s="49">
        <f>IF(A53="","",IFERROR(VLOOKUP("Taux de TVA principal",'Hypothèses'!$A$5:$B$24,2,FALSE),0))</f>
        <v/>
      </c>
      <c r="H53" s="50">
        <f>IF(A53="","",IFERROR(E53*F53,0))</f>
        <v/>
      </c>
      <c r="I53" s="50">
        <f>IF(A53="","",IFERROR(H53*(1+G53),0))</f>
        <v/>
      </c>
      <c r="J53" s="48" t="n"/>
      <c r="K53" s="50">
        <f>IF(A53="","",IFERROR(H53/J53,0))</f>
        <v/>
      </c>
      <c r="L53" s="16" t="n"/>
    </row>
    <row r="54">
      <c r="A54" s="11" t="n"/>
      <c r="B54" s="11" t="n"/>
      <c r="C54" s="11" t="n"/>
      <c r="D54" s="47" t="n"/>
      <c r="E54" s="48" t="n"/>
      <c r="F54" s="45" t="n"/>
      <c r="G54" s="51">
        <f>IF(A54="","",IFERROR(VLOOKUP("Taux de TVA principal",'Hypothèses'!$A$5:$B$24,2,FALSE),0))</f>
        <v/>
      </c>
      <c r="H54" s="52">
        <f>IF(A54="","",IFERROR(E54*F54,0))</f>
        <v/>
      </c>
      <c r="I54" s="52">
        <f>IF(A54="","",IFERROR(H54*(1+G54),0))</f>
        <v/>
      </c>
      <c r="J54" s="48" t="n"/>
      <c r="K54" s="52">
        <f>IF(A54="","",IFERROR(H54/J54,0))</f>
        <v/>
      </c>
      <c r="L54" s="16" t="n"/>
    </row>
    <row r="55">
      <c r="A55" s="11" t="n"/>
      <c r="B55" s="11" t="n"/>
      <c r="C55" s="11" t="n"/>
      <c r="D55" s="47" t="n"/>
      <c r="E55" s="48" t="n"/>
      <c r="F55" s="45" t="n"/>
      <c r="G55" s="49">
        <f>IF(A55="","",IFERROR(VLOOKUP("Taux de TVA principal",'Hypothèses'!$A$5:$B$24,2,FALSE),0))</f>
        <v/>
      </c>
      <c r="H55" s="50">
        <f>IF(A55="","",IFERROR(E55*F55,0))</f>
        <v/>
      </c>
      <c r="I55" s="50">
        <f>IF(A55="","",IFERROR(H55*(1+G55),0))</f>
        <v/>
      </c>
      <c r="J55" s="48" t="n"/>
      <c r="K55" s="50">
        <f>IF(A55="","",IFERROR(H55/J55,0))</f>
        <v/>
      </c>
      <c r="L55" s="16" t="n"/>
    </row>
    <row r="56">
      <c r="A56" s="11" t="n"/>
      <c r="B56" s="11" t="n"/>
      <c r="C56" s="11" t="n"/>
      <c r="D56" s="47" t="n"/>
      <c r="E56" s="48" t="n"/>
      <c r="F56" s="45" t="n"/>
      <c r="G56" s="51">
        <f>IF(A56="","",IFERROR(VLOOKUP("Taux de TVA principal",'Hypothèses'!$A$5:$B$24,2,FALSE),0))</f>
        <v/>
      </c>
      <c r="H56" s="52">
        <f>IF(A56="","",IFERROR(E56*F56,0))</f>
        <v/>
      </c>
      <c r="I56" s="52">
        <f>IF(A56="","",IFERROR(H56*(1+G56),0))</f>
        <v/>
      </c>
      <c r="J56" s="48" t="n"/>
      <c r="K56" s="52">
        <f>IF(A56="","",IFERROR(H56/J56,0))</f>
        <v/>
      </c>
      <c r="L56" s="16" t="n"/>
    </row>
    <row r="57">
      <c r="A57" s="11" t="n"/>
      <c r="B57" s="11" t="n"/>
      <c r="C57" s="11" t="n"/>
      <c r="D57" s="47" t="n"/>
      <c r="E57" s="48" t="n"/>
      <c r="F57" s="45" t="n"/>
      <c r="G57" s="49">
        <f>IF(A57="","",IFERROR(VLOOKUP("Taux de TVA principal",'Hypothèses'!$A$5:$B$24,2,FALSE),0))</f>
        <v/>
      </c>
      <c r="H57" s="50">
        <f>IF(A57="","",IFERROR(E57*F57,0))</f>
        <v/>
      </c>
      <c r="I57" s="50">
        <f>IF(A57="","",IFERROR(H57*(1+G57),0))</f>
        <v/>
      </c>
      <c r="J57" s="48" t="n"/>
      <c r="K57" s="50">
        <f>IF(A57="","",IFERROR(H57/J57,0))</f>
        <v/>
      </c>
      <c r="L57" s="16" t="n"/>
    </row>
    <row r="58">
      <c r="A58" s="11" t="n"/>
      <c r="B58" s="11" t="n"/>
      <c r="C58" s="11" t="n"/>
      <c r="D58" s="47" t="n"/>
      <c r="E58" s="48" t="n"/>
      <c r="F58" s="45" t="n"/>
      <c r="G58" s="51">
        <f>IF(A58="","",IFERROR(VLOOKUP("Taux de TVA principal",'Hypothèses'!$A$5:$B$24,2,FALSE),0))</f>
        <v/>
      </c>
      <c r="H58" s="52">
        <f>IF(A58="","",IFERROR(E58*F58,0))</f>
        <v/>
      </c>
      <c r="I58" s="52">
        <f>IF(A58="","",IFERROR(H58*(1+G58),0))</f>
        <v/>
      </c>
      <c r="J58" s="48" t="n"/>
      <c r="K58" s="52">
        <f>IF(A58="","",IFERROR(H58/J58,0))</f>
        <v/>
      </c>
      <c r="L58" s="16" t="n"/>
    </row>
    <row r="59">
      <c r="A59" s="11" t="n"/>
      <c r="B59" s="11" t="n"/>
      <c r="C59" s="11" t="n"/>
      <c r="D59" s="47" t="n"/>
      <c r="E59" s="48" t="n"/>
      <c r="F59" s="45" t="n"/>
      <c r="G59" s="49">
        <f>IF(A59="","",IFERROR(VLOOKUP("Taux de TVA principal",'Hypothèses'!$A$5:$B$24,2,FALSE),0))</f>
        <v/>
      </c>
      <c r="H59" s="50">
        <f>IF(A59="","",IFERROR(E59*F59,0))</f>
        <v/>
      </c>
      <c r="I59" s="50">
        <f>IF(A59="","",IFERROR(H59*(1+G59),0))</f>
        <v/>
      </c>
      <c r="J59" s="48" t="n"/>
      <c r="K59" s="50">
        <f>IF(A59="","",IFERROR(H59/J59,0))</f>
        <v/>
      </c>
      <c r="L59" s="16" t="n"/>
    </row>
    <row r="60">
      <c r="A60" s="11" t="n"/>
      <c r="B60" s="11" t="n"/>
      <c r="C60" s="11" t="n"/>
      <c r="D60" s="47" t="n"/>
      <c r="E60" s="48" t="n"/>
      <c r="F60" s="45" t="n"/>
      <c r="G60" s="51">
        <f>IF(A60="","",IFERROR(VLOOKUP("Taux de TVA principal",'Hypothèses'!$A$5:$B$24,2,FALSE),0))</f>
        <v/>
      </c>
      <c r="H60" s="52">
        <f>IF(A60="","",IFERROR(E60*F60,0))</f>
        <v/>
      </c>
      <c r="I60" s="52">
        <f>IF(A60="","",IFERROR(H60*(1+G60),0))</f>
        <v/>
      </c>
      <c r="J60" s="48" t="n"/>
      <c r="K60" s="52">
        <f>IF(A60="","",IFERROR(H60/J60,0))</f>
        <v/>
      </c>
      <c r="L60" s="16" t="n"/>
    </row>
    <row r="61">
      <c r="A61" s="11" t="n"/>
      <c r="B61" s="11" t="n"/>
      <c r="C61" s="11" t="n"/>
      <c r="D61" s="47" t="n"/>
      <c r="E61" s="48" t="n"/>
      <c r="F61" s="45" t="n"/>
      <c r="G61" s="49">
        <f>IF(A61="","",IFERROR(VLOOKUP("Taux de TVA principal",'Hypothèses'!$A$5:$B$24,2,FALSE),0))</f>
        <v/>
      </c>
      <c r="H61" s="50">
        <f>IF(A61="","",IFERROR(E61*F61,0))</f>
        <v/>
      </c>
      <c r="I61" s="50">
        <f>IF(A61="","",IFERROR(H61*(1+G61),0))</f>
        <v/>
      </c>
      <c r="J61" s="48" t="n"/>
      <c r="K61" s="50">
        <f>IF(A61="","",IFERROR(H61/J61,0))</f>
        <v/>
      </c>
      <c r="L61" s="16" t="n"/>
    </row>
    <row r="62">
      <c r="A62" s="11" t="n"/>
      <c r="B62" s="11" t="n"/>
      <c r="C62" s="11" t="n"/>
      <c r="D62" s="47" t="n"/>
      <c r="E62" s="48" t="n"/>
      <c r="F62" s="45" t="n"/>
      <c r="G62" s="51">
        <f>IF(A62="","",IFERROR(VLOOKUP("Taux de TVA principal",'Hypothèses'!$A$5:$B$24,2,FALSE),0))</f>
        <v/>
      </c>
      <c r="H62" s="52">
        <f>IF(A62="","",IFERROR(E62*F62,0))</f>
        <v/>
      </c>
      <c r="I62" s="52">
        <f>IF(A62="","",IFERROR(H62*(1+G62),0))</f>
        <v/>
      </c>
      <c r="J62" s="48" t="n"/>
      <c r="K62" s="52">
        <f>IF(A62="","",IFERROR(H62/J62,0))</f>
        <v/>
      </c>
      <c r="L62" s="16" t="n"/>
    </row>
    <row r="63">
      <c r="A63" s="11" t="n"/>
      <c r="B63" s="11" t="n"/>
      <c r="C63" s="11" t="n"/>
      <c r="D63" s="47" t="n"/>
      <c r="E63" s="48" t="n"/>
      <c r="F63" s="45" t="n"/>
      <c r="G63" s="49">
        <f>IF(A63="","",IFERROR(VLOOKUP("Taux de TVA principal",'Hypothèses'!$A$5:$B$24,2,FALSE),0))</f>
        <v/>
      </c>
      <c r="H63" s="50">
        <f>IF(A63="","",IFERROR(E63*F63,0))</f>
        <v/>
      </c>
      <c r="I63" s="50">
        <f>IF(A63="","",IFERROR(H63*(1+G63),0))</f>
        <v/>
      </c>
      <c r="J63" s="48" t="n"/>
      <c r="K63" s="50">
        <f>IF(A63="","",IFERROR(H63/J63,0))</f>
        <v/>
      </c>
      <c r="L63" s="16" t="n"/>
    </row>
    <row r="64">
      <c r="A64" s="11" t="n"/>
      <c r="B64" s="11" t="n"/>
      <c r="C64" s="11" t="n"/>
      <c r="D64" s="47" t="n"/>
      <c r="E64" s="48" t="n"/>
      <c r="F64" s="45" t="n"/>
      <c r="G64" s="51">
        <f>IF(A64="","",IFERROR(VLOOKUP("Taux de TVA principal",'Hypothèses'!$A$5:$B$24,2,FALSE),0))</f>
        <v/>
      </c>
      <c r="H64" s="52">
        <f>IF(A64="","",IFERROR(E64*F64,0))</f>
        <v/>
      </c>
      <c r="I64" s="52">
        <f>IF(A64="","",IFERROR(H64*(1+G64),0))</f>
        <v/>
      </c>
      <c r="J64" s="48" t="n"/>
      <c r="K64" s="52">
        <f>IF(A64="","",IFERROR(H64/J64,0))</f>
        <v/>
      </c>
      <c r="L64" s="16" t="n"/>
    </row>
    <row r="65">
      <c r="A65" s="11" t="n"/>
      <c r="B65" s="11" t="n"/>
      <c r="C65" s="11" t="n"/>
      <c r="D65" s="47" t="n"/>
      <c r="E65" s="48" t="n"/>
      <c r="F65" s="45" t="n"/>
      <c r="G65" s="49">
        <f>IF(A65="","",IFERROR(VLOOKUP("Taux de TVA principal",'Hypothèses'!$A$5:$B$24,2,FALSE),0))</f>
        <v/>
      </c>
      <c r="H65" s="50">
        <f>IF(A65="","",IFERROR(E65*F65,0))</f>
        <v/>
      </c>
      <c r="I65" s="50">
        <f>IF(A65="","",IFERROR(H65*(1+G65),0))</f>
        <v/>
      </c>
      <c r="J65" s="48" t="n"/>
      <c r="K65" s="50">
        <f>IF(A65="","",IFERROR(H65/J65,0))</f>
        <v/>
      </c>
      <c r="L65" s="16" t="n"/>
    </row>
    <row r="66">
      <c r="A66" s="11" t="n"/>
      <c r="B66" s="11" t="n"/>
      <c r="C66" s="11" t="n"/>
      <c r="D66" s="47" t="n"/>
      <c r="E66" s="48" t="n"/>
      <c r="F66" s="45" t="n"/>
      <c r="G66" s="51">
        <f>IF(A66="","",IFERROR(VLOOKUP("Taux de TVA principal",'Hypothèses'!$A$5:$B$24,2,FALSE),0))</f>
        <v/>
      </c>
      <c r="H66" s="52">
        <f>IF(A66="","",IFERROR(E66*F66,0))</f>
        <v/>
      </c>
      <c r="I66" s="52">
        <f>IF(A66="","",IFERROR(H66*(1+G66),0))</f>
        <v/>
      </c>
      <c r="J66" s="48" t="n"/>
      <c r="K66" s="52">
        <f>IF(A66="","",IFERROR(H66/J66,0))</f>
        <v/>
      </c>
      <c r="L66" s="16" t="n"/>
    </row>
    <row r="67">
      <c r="A67" s="11" t="n"/>
      <c r="B67" s="11" t="n"/>
      <c r="C67" s="11" t="n"/>
      <c r="D67" s="47" t="n"/>
      <c r="E67" s="48" t="n"/>
      <c r="F67" s="45" t="n"/>
      <c r="G67" s="49">
        <f>IF(A67="","",IFERROR(VLOOKUP("Taux de TVA principal",'Hypothèses'!$A$5:$B$24,2,FALSE),0))</f>
        <v/>
      </c>
      <c r="H67" s="50">
        <f>IF(A67="","",IFERROR(E67*F67,0))</f>
        <v/>
      </c>
      <c r="I67" s="50">
        <f>IF(A67="","",IFERROR(H67*(1+G67),0))</f>
        <v/>
      </c>
      <c r="J67" s="48" t="n"/>
      <c r="K67" s="50">
        <f>IF(A67="","",IFERROR(H67/J67,0))</f>
        <v/>
      </c>
      <c r="L67" s="16" t="n"/>
    </row>
    <row r="68">
      <c r="A68" s="11" t="n"/>
      <c r="B68" s="11" t="n"/>
      <c r="C68" s="11" t="n"/>
      <c r="D68" s="47" t="n"/>
      <c r="E68" s="48" t="n"/>
      <c r="F68" s="45" t="n"/>
      <c r="G68" s="51">
        <f>IF(A68="","",IFERROR(VLOOKUP("Taux de TVA principal",'Hypothèses'!$A$5:$B$24,2,FALSE),0))</f>
        <v/>
      </c>
      <c r="H68" s="52">
        <f>IF(A68="","",IFERROR(E68*F68,0))</f>
        <v/>
      </c>
      <c r="I68" s="52">
        <f>IF(A68="","",IFERROR(H68*(1+G68),0))</f>
        <v/>
      </c>
      <c r="J68" s="48" t="n"/>
      <c r="K68" s="52">
        <f>IF(A68="","",IFERROR(H68/J68,0))</f>
        <v/>
      </c>
      <c r="L68" s="16" t="n"/>
    </row>
    <row r="69">
      <c r="A69" s="11" t="n"/>
      <c r="B69" s="11" t="n"/>
      <c r="C69" s="11" t="n"/>
      <c r="D69" s="47" t="n"/>
      <c r="E69" s="48" t="n"/>
      <c r="F69" s="45" t="n"/>
      <c r="G69" s="49">
        <f>IF(A69="","",IFERROR(VLOOKUP("Taux de TVA principal",'Hypothèses'!$A$5:$B$24,2,FALSE),0))</f>
        <v/>
      </c>
      <c r="H69" s="50">
        <f>IF(A69="","",IFERROR(E69*F69,0))</f>
        <v/>
      </c>
      <c r="I69" s="50">
        <f>IF(A69="","",IFERROR(H69*(1+G69),0))</f>
        <v/>
      </c>
      <c r="J69" s="48" t="n"/>
      <c r="K69" s="50">
        <f>IF(A69="","",IFERROR(H69/J69,0))</f>
        <v/>
      </c>
      <c r="L69" s="16" t="n"/>
    </row>
    <row r="70">
      <c r="A70" s="11" t="n"/>
      <c r="B70" s="11" t="n"/>
      <c r="C70" s="11" t="n"/>
      <c r="D70" s="47" t="n"/>
      <c r="E70" s="48" t="n"/>
      <c r="F70" s="45" t="n"/>
      <c r="G70" s="51">
        <f>IF(A70="","",IFERROR(VLOOKUP("Taux de TVA principal",'Hypothèses'!$A$5:$B$24,2,FALSE),0))</f>
        <v/>
      </c>
      <c r="H70" s="52">
        <f>IF(A70="","",IFERROR(E70*F70,0))</f>
        <v/>
      </c>
      <c r="I70" s="52">
        <f>IF(A70="","",IFERROR(H70*(1+G70),0))</f>
        <v/>
      </c>
      <c r="J70" s="48" t="n"/>
      <c r="K70" s="52">
        <f>IF(A70="","",IFERROR(H70/J70,0))</f>
        <v/>
      </c>
      <c r="L70" s="16" t="n"/>
    </row>
    <row r="71">
      <c r="A71" s="11" t="n"/>
      <c r="B71" s="11" t="n"/>
      <c r="C71" s="11" t="n"/>
      <c r="D71" s="47" t="n"/>
      <c r="E71" s="48" t="n"/>
      <c r="F71" s="45" t="n"/>
      <c r="G71" s="49">
        <f>IF(A71="","",IFERROR(VLOOKUP("Taux de TVA principal",'Hypothèses'!$A$5:$B$24,2,FALSE),0))</f>
        <v/>
      </c>
      <c r="H71" s="50">
        <f>IF(A71="","",IFERROR(E71*F71,0))</f>
        <v/>
      </c>
      <c r="I71" s="50">
        <f>IF(A71="","",IFERROR(H71*(1+G71),0))</f>
        <v/>
      </c>
      <c r="J71" s="48" t="n"/>
      <c r="K71" s="50">
        <f>IF(A71="","",IFERROR(H71/J71,0))</f>
        <v/>
      </c>
      <c r="L71" s="16" t="n"/>
    </row>
    <row r="72">
      <c r="A72" s="11" t="n"/>
      <c r="B72" s="11" t="n"/>
      <c r="C72" s="11" t="n"/>
      <c r="D72" s="47" t="n"/>
      <c r="E72" s="48" t="n"/>
      <c r="F72" s="45" t="n"/>
      <c r="G72" s="51">
        <f>IF(A72="","",IFERROR(VLOOKUP("Taux de TVA principal",'Hypothèses'!$A$5:$B$24,2,FALSE),0))</f>
        <v/>
      </c>
      <c r="H72" s="52">
        <f>IF(A72="","",IFERROR(E72*F72,0))</f>
        <v/>
      </c>
      <c r="I72" s="52">
        <f>IF(A72="","",IFERROR(H72*(1+G72),0))</f>
        <v/>
      </c>
      <c r="J72" s="48" t="n"/>
      <c r="K72" s="52">
        <f>IF(A72="","",IFERROR(H72/J72,0))</f>
        <v/>
      </c>
      <c r="L72" s="16" t="n"/>
    </row>
    <row r="73">
      <c r="A73" s="11" t="n"/>
      <c r="B73" s="11" t="n"/>
      <c r="C73" s="11" t="n"/>
      <c r="D73" s="47" t="n"/>
      <c r="E73" s="48" t="n"/>
      <c r="F73" s="45" t="n"/>
      <c r="G73" s="49">
        <f>IF(A73="","",IFERROR(VLOOKUP("Taux de TVA principal",'Hypothèses'!$A$5:$B$24,2,FALSE),0))</f>
        <v/>
      </c>
      <c r="H73" s="50">
        <f>IF(A73="","",IFERROR(E73*F73,0))</f>
        <v/>
      </c>
      <c r="I73" s="50">
        <f>IF(A73="","",IFERROR(H73*(1+G73),0))</f>
        <v/>
      </c>
      <c r="J73" s="48" t="n"/>
      <c r="K73" s="50">
        <f>IF(A73="","",IFERROR(H73/J73,0))</f>
        <v/>
      </c>
      <c r="L73" s="16" t="n"/>
    </row>
    <row r="74">
      <c r="A74" s="11" t="n"/>
      <c r="B74" s="11" t="n"/>
      <c r="C74" s="11" t="n"/>
      <c r="D74" s="47" t="n"/>
      <c r="E74" s="48" t="n"/>
      <c r="F74" s="45" t="n"/>
      <c r="G74" s="51">
        <f>IF(A74="","",IFERROR(VLOOKUP("Taux de TVA principal",'Hypothèses'!$A$5:$B$24,2,FALSE),0))</f>
        <v/>
      </c>
      <c r="H74" s="52">
        <f>IF(A74="","",IFERROR(E74*F74,0))</f>
        <v/>
      </c>
      <c r="I74" s="52">
        <f>IF(A74="","",IFERROR(H74*(1+G74),0))</f>
        <v/>
      </c>
      <c r="J74" s="48" t="n"/>
      <c r="K74" s="52">
        <f>IF(A74="","",IFERROR(H74/J74,0))</f>
        <v/>
      </c>
      <c r="L74" s="16" t="n"/>
    </row>
    <row r="75">
      <c r="A75" s="11" t="n"/>
      <c r="B75" s="11" t="n"/>
      <c r="C75" s="11" t="n"/>
      <c r="D75" s="47" t="n"/>
      <c r="E75" s="48" t="n"/>
      <c r="F75" s="45" t="n"/>
      <c r="G75" s="49">
        <f>IF(A75="","",IFERROR(VLOOKUP("Taux de TVA principal",'Hypothèses'!$A$5:$B$24,2,FALSE),0))</f>
        <v/>
      </c>
      <c r="H75" s="50">
        <f>IF(A75="","",IFERROR(E75*F75,0))</f>
        <v/>
      </c>
      <c r="I75" s="50">
        <f>IF(A75="","",IFERROR(H75*(1+G75),0))</f>
        <v/>
      </c>
      <c r="J75" s="48" t="n"/>
      <c r="K75" s="50">
        <f>IF(A75="","",IFERROR(H75/J75,0))</f>
        <v/>
      </c>
      <c r="L75" s="16" t="n"/>
    </row>
    <row r="76">
      <c r="A76" s="11" t="n"/>
      <c r="B76" s="11" t="n"/>
      <c r="C76" s="11" t="n"/>
      <c r="D76" s="47" t="n"/>
      <c r="E76" s="48" t="n"/>
      <c r="F76" s="45" t="n"/>
      <c r="G76" s="51">
        <f>IF(A76="","",IFERROR(VLOOKUP("Taux de TVA principal",'Hypothèses'!$A$5:$B$24,2,FALSE),0))</f>
        <v/>
      </c>
      <c r="H76" s="52">
        <f>IF(A76="","",IFERROR(E76*F76,0))</f>
        <v/>
      </c>
      <c r="I76" s="52">
        <f>IF(A76="","",IFERROR(H76*(1+G76),0))</f>
        <v/>
      </c>
      <c r="J76" s="48" t="n"/>
      <c r="K76" s="52">
        <f>IF(A76="","",IFERROR(H76/J76,0))</f>
        <v/>
      </c>
      <c r="L76" s="16" t="n"/>
    </row>
    <row r="77">
      <c r="A77" s="11" t="n"/>
      <c r="B77" s="11" t="n"/>
      <c r="C77" s="11" t="n"/>
      <c r="D77" s="47" t="n"/>
      <c r="E77" s="48" t="n"/>
      <c r="F77" s="45" t="n"/>
      <c r="G77" s="49">
        <f>IF(A77="","",IFERROR(VLOOKUP("Taux de TVA principal",'Hypothèses'!$A$5:$B$24,2,FALSE),0))</f>
        <v/>
      </c>
      <c r="H77" s="50">
        <f>IF(A77="","",IFERROR(E77*F77,0))</f>
        <v/>
      </c>
      <c r="I77" s="50">
        <f>IF(A77="","",IFERROR(H77*(1+G77),0))</f>
        <v/>
      </c>
      <c r="J77" s="48" t="n"/>
      <c r="K77" s="50">
        <f>IF(A77="","",IFERROR(H77/J77,0))</f>
        <v/>
      </c>
      <c r="L77" s="16" t="n"/>
    </row>
    <row r="78">
      <c r="A78" s="11" t="n"/>
      <c r="B78" s="11" t="n"/>
      <c r="C78" s="11" t="n"/>
      <c r="D78" s="47" t="n"/>
      <c r="E78" s="48" t="n"/>
      <c r="F78" s="45" t="n"/>
      <c r="G78" s="51">
        <f>IF(A78="","",IFERROR(VLOOKUP("Taux de TVA principal",'Hypothèses'!$A$5:$B$24,2,FALSE),0))</f>
        <v/>
      </c>
      <c r="H78" s="52">
        <f>IF(A78="","",IFERROR(E78*F78,0))</f>
        <v/>
      </c>
      <c r="I78" s="52">
        <f>IF(A78="","",IFERROR(H78*(1+G78),0))</f>
        <v/>
      </c>
      <c r="J78" s="48" t="n"/>
      <c r="K78" s="52">
        <f>IF(A78="","",IFERROR(H78/J78,0))</f>
        <v/>
      </c>
      <c r="L78" s="16" t="n"/>
    </row>
    <row r="79">
      <c r="A79" s="11" t="n"/>
      <c r="B79" s="11" t="n"/>
      <c r="C79" s="11" t="n"/>
      <c r="D79" s="47" t="n"/>
      <c r="E79" s="48" t="n"/>
      <c r="F79" s="45" t="n"/>
      <c r="G79" s="49">
        <f>IF(A79="","",IFERROR(VLOOKUP("Taux de TVA principal",'Hypothèses'!$A$5:$B$24,2,FALSE),0))</f>
        <v/>
      </c>
      <c r="H79" s="50">
        <f>IF(A79="","",IFERROR(E79*F79,0))</f>
        <v/>
      </c>
      <c r="I79" s="50">
        <f>IF(A79="","",IFERROR(H79*(1+G79),0))</f>
        <v/>
      </c>
      <c r="J79" s="48" t="n"/>
      <c r="K79" s="50">
        <f>IF(A79="","",IFERROR(H79/J79,0))</f>
        <v/>
      </c>
      <c r="L79" s="16" t="n"/>
    </row>
    <row r="80">
      <c r="A80" s="11" t="n"/>
      <c r="B80" s="11" t="n"/>
      <c r="C80" s="11" t="n"/>
      <c r="D80" s="47" t="n"/>
      <c r="E80" s="48" t="n"/>
      <c r="F80" s="45" t="n"/>
      <c r="G80" s="51">
        <f>IF(A80="","",IFERROR(VLOOKUP("Taux de TVA principal",'Hypothèses'!$A$5:$B$24,2,FALSE),0))</f>
        <v/>
      </c>
      <c r="H80" s="52">
        <f>IF(A80="","",IFERROR(E80*F80,0))</f>
        <v/>
      </c>
      <c r="I80" s="52">
        <f>IF(A80="","",IFERROR(H80*(1+G80),0))</f>
        <v/>
      </c>
      <c r="J80" s="48" t="n"/>
      <c r="K80" s="52">
        <f>IF(A80="","",IFERROR(H80/J80,0))</f>
        <v/>
      </c>
      <c r="L80" s="16" t="n"/>
    </row>
    <row r="81">
      <c r="A81" s="11" t="n"/>
      <c r="B81" s="11" t="n"/>
      <c r="C81" s="11" t="n"/>
      <c r="D81" s="47" t="n"/>
      <c r="E81" s="48" t="n"/>
      <c r="F81" s="45" t="n"/>
      <c r="G81" s="49">
        <f>IF(A81="","",IFERROR(VLOOKUP("Taux de TVA principal",'Hypothèses'!$A$5:$B$24,2,FALSE),0))</f>
        <v/>
      </c>
      <c r="H81" s="50">
        <f>IF(A81="","",IFERROR(E81*F81,0))</f>
        <v/>
      </c>
      <c r="I81" s="50">
        <f>IF(A81="","",IFERROR(H81*(1+G81),0))</f>
        <v/>
      </c>
      <c r="J81" s="48" t="n"/>
      <c r="K81" s="50">
        <f>IF(A81="","",IFERROR(H81/J81,0))</f>
        <v/>
      </c>
      <c r="L81" s="16" t="n"/>
    </row>
    <row r="82">
      <c r="A82" s="11" t="n"/>
      <c r="B82" s="11" t="n"/>
      <c r="C82" s="11" t="n"/>
      <c r="D82" s="47" t="n"/>
      <c r="E82" s="48" t="n"/>
      <c r="F82" s="45" t="n"/>
      <c r="G82" s="51">
        <f>IF(A82="","",IFERROR(VLOOKUP("Taux de TVA principal",'Hypothèses'!$A$5:$B$24,2,FALSE),0))</f>
        <v/>
      </c>
      <c r="H82" s="52">
        <f>IF(A82="","",IFERROR(E82*F82,0))</f>
        <v/>
      </c>
      <c r="I82" s="52">
        <f>IF(A82="","",IFERROR(H82*(1+G82),0))</f>
        <v/>
      </c>
      <c r="J82" s="48" t="n"/>
      <c r="K82" s="52">
        <f>IF(A82="","",IFERROR(H82/J82,0))</f>
        <v/>
      </c>
      <c r="L82" s="16" t="n"/>
    </row>
    <row r="83">
      <c r="A83" s="11" t="n"/>
      <c r="B83" s="11" t="n"/>
      <c r="C83" s="11" t="n"/>
      <c r="D83" s="47" t="n"/>
      <c r="E83" s="48" t="n"/>
      <c r="F83" s="45" t="n"/>
      <c r="G83" s="49">
        <f>IF(A83="","",IFERROR(VLOOKUP("Taux de TVA principal",'Hypothèses'!$A$5:$B$24,2,FALSE),0))</f>
        <v/>
      </c>
      <c r="H83" s="50">
        <f>IF(A83="","",IFERROR(E83*F83,0))</f>
        <v/>
      </c>
      <c r="I83" s="50">
        <f>IF(A83="","",IFERROR(H83*(1+G83),0))</f>
        <v/>
      </c>
      <c r="J83" s="48" t="n"/>
      <c r="K83" s="50">
        <f>IF(A83="","",IFERROR(H83/J83,0))</f>
        <v/>
      </c>
      <c r="L83" s="16" t="n"/>
    </row>
    <row r="84">
      <c r="A84" s="11" t="n"/>
      <c r="B84" s="11" t="n"/>
      <c r="C84" s="11" t="n"/>
      <c r="D84" s="47" t="n"/>
      <c r="E84" s="48" t="n"/>
      <c r="F84" s="45" t="n"/>
      <c r="G84" s="51">
        <f>IF(A84="","",IFERROR(VLOOKUP("Taux de TVA principal",'Hypothèses'!$A$5:$B$24,2,FALSE),0))</f>
        <v/>
      </c>
      <c r="H84" s="52">
        <f>IF(A84="","",IFERROR(E84*F84,0))</f>
        <v/>
      </c>
      <c r="I84" s="52">
        <f>IF(A84="","",IFERROR(H84*(1+G84),0))</f>
        <v/>
      </c>
      <c r="J84" s="48" t="n"/>
      <c r="K84" s="52">
        <f>IF(A84="","",IFERROR(H84/J84,0))</f>
        <v/>
      </c>
      <c r="L84" s="16" t="n"/>
    </row>
    <row r="85">
      <c r="A85" s="11" t="n"/>
      <c r="B85" s="11" t="n"/>
      <c r="C85" s="11" t="n"/>
      <c r="D85" s="47" t="n"/>
      <c r="E85" s="48" t="n"/>
      <c r="F85" s="45" t="n"/>
      <c r="G85" s="49">
        <f>IF(A85="","",IFERROR(VLOOKUP("Taux de TVA principal",'Hypothèses'!$A$5:$B$24,2,FALSE),0))</f>
        <v/>
      </c>
      <c r="H85" s="50">
        <f>IF(A85="","",IFERROR(E85*F85,0))</f>
        <v/>
      </c>
      <c r="I85" s="50">
        <f>IF(A85="","",IFERROR(H85*(1+G85),0))</f>
        <v/>
      </c>
      <c r="J85" s="48" t="n"/>
      <c r="K85" s="50">
        <f>IF(A85="","",IFERROR(H85/J85,0))</f>
        <v/>
      </c>
      <c r="L85" s="16" t="n"/>
    </row>
    <row r="86">
      <c r="A86" s="11" t="n"/>
      <c r="B86" s="11" t="n"/>
      <c r="C86" s="11" t="n"/>
      <c r="D86" s="47" t="n"/>
      <c r="E86" s="48" t="n"/>
      <c r="F86" s="45" t="n"/>
      <c r="G86" s="51">
        <f>IF(A86="","",IFERROR(VLOOKUP("Taux de TVA principal",'Hypothèses'!$A$5:$B$24,2,FALSE),0))</f>
        <v/>
      </c>
      <c r="H86" s="52">
        <f>IF(A86="","",IFERROR(E86*F86,0))</f>
        <v/>
      </c>
      <c r="I86" s="52">
        <f>IF(A86="","",IFERROR(H86*(1+G86),0))</f>
        <v/>
      </c>
      <c r="J86" s="48" t="n"/>
      <c r="K86" s="52">
        <f>IF(A86="","",IFERROR(H86/J86,0))</f>
        <v/>
      </c>
      <c r="L86" s="16" t="n"/>
    </row>
    <row r="87">
      <c r="A87" s="11" t="n"/>
      <c r="B87" s="11" t="n"/>
      <c r="C87" s="11" t="n"/>
      <c r="D87" s="47" t="n"/>
      <c r="E87" s="48" t="n"/>
      <c r="F87" s="45" t="n"/>
      <c r="G87" s="49">
        <f>IF(A87="","",IFERROR(VLOOKUP("Taux de TVA principal",'Hypothèses'!$A$5:$B$24,2,FALSE),0))</f>
        <v/>
      </c>
      <c r="H87" s="50">
        <f>IF(A87="","",IFERROR(E87*F87,0))</f>
        <v/>
      </c>
      <c r="I87" s="50">
        <f>IF(A87="","",IFERROR(H87*(1+G87),0))</f>
        <v/>
      </c>
      <c r="J87" s="48" t="n"/>
      <c r="K87" s="50">
        <f>IF(A87="","",IFERROR(H87/J87,0))</f>
        <v/>
      </c>
      <c r="L87" s="16" t="n"/>
    </row>
    <row r="88">
      <c r="A88" s="11" t="n"/>
      <c r="B88" s="11" t="n"/>
      <c r="C88" s="11" t="n"/>
      <c r="D88" s="47" t="n"/>
      <c r="E88" s="48" t="n"/>
      <c r="F88" s="45" t="n"/>
      <c r="G88" s="51">
        <f>IF(A88="","",IFERROR(VLOOKUP("Taux de TVA principal",'Hypothèses'!$A$5:$B$24,2,FALSE),0))</f>
        <v/>
      </c>
      <c r="H88" s="52">
        <f>IF(A88="","",IFERROR(E88*F88,0))</f>
        <v/>
      </c>
      <c r="I88" s="52">
        <f>IF(A88="","",IFERROR(H88*(1+G88),0))</f>
        <v/>
      </c>
      <c r="J88" s="48" t="n"/>
      <c r="K88" s="52">
        <f>IF(A88="","",IFERROR(H88/J88,0))</f>
        <v/>
      </c>
      <c r="L88" s="16" t="n"/>
    </row>
    <row r="89">
      <c r="A89" s="11" t="n"/>
      <c r="B89" s="11" t="n"/>
      <c r="C89" s="11" t="n"/>
      <c r="D89" s="47" t="n"/>
      <c r="E89" s="48" t="n"/>
      <c r="F89" s="45" t="n"/>
      <c r="G89" s="49">
        <f>IF(A89="","",IFERROR(VLOOKUP("Taux de TVA principal",'Hypothèses'!$A$5:$B$24,2,FALSE),0))</f>
        <v/>
      </c>
      <c r="H89" s="50">
        <f>IF(A89="","",IFERROR(E89*F89,0))</f>
        <v/>
      </c>
      <c r="I89" s="50">
        <f>IF(A89="","",IFERROR(H89*(1+G89),0))</f>
        <v/>
      </c>
      <c r="J89" s="48" t="n"/>
      <c r="K89" s="50">
        <f>IF(A89="","",IFERROR(H89/J89,0))</f>
        <v/>
      </c>
      <c r="L89" s="16" t="n"/>
    </row>
    <row r="90">
      <c r="A90" s="11" t="n"/>
      <c r="B90" s="11" t="n"/>
      <c r="C90" s="11" t="n"/>
      <c r="D90" s="47" t="n"/>
      <c r="E90" s="48" t="n"/>
      <c r="F90" s="45" t="n"/>
      <c r="G90" s="51">
        <f>IF(A90="","",IFERROR(VLOOKUP("Taux de TVA principal",'Hypothèses'!$A$5:$B$24,2,FALSE),0))</f>
        <v/>
      </c>
      <c r="H90" s="52">
        <f>IF(A90="","",IFERROR(E90*F90,0))</f>
        <v/>
      </c>
      <c r="I90" s="52">
        <f>IF(A90="","",IFERROR(H90*(1+G90),0))</f>
        <v/>
      </c>
      <c r="J90" s="48" t="n"/>
      <c r="K90" s="52">
        <f>IF(A90="","",IFERROR(H90/J90,0))</f>
        <v/>
      </c>
      <c r="L90" s="16" t="n"/>
    </row>
    <row r="91">
      <c r="A91" s="11" t="n"/>
      <c r="B91" s="11" t="n"/>
      <c r="C91" s="11" t="n"/>
      <c r="D91" s="47" t="n"/>
      <c r="E91" s="48" t="n"/>
      <c r="F91" s="45" t="n"/>
      <c r="G91" s="49">
        <f>IF(A91="","",IFERROR(VLOOKUP("Taux de TVA principal",'Hypothèses'!$A$5:$B$24,2,FALSE),0))</f>
        <v/>
      </c>
      <c r="H91" s="50">
        <f>IF(A91="","",IFERROR(E91*F91,0))</f>
        <v/>
      </c>
      <c r="I91" s="50">
        <f>IF(A91="","",IFERROR(H91*(1+G91),0))</f>
        <v/>
      </c>
      <c r="J91" s="48" t="n"/>
      <c r="K91" s="50">
        <f>IF(A91="","",IFERROR(H91/J91,0))</f>
        <v/>
      </c>
      <c r="L91" s="16" t="n"/>
    </row>
    <row r="92">
      <c r="A92" s="11" t="n"/>
      <c r="B92" s="11" t="n"/>
      <c r="C92" s="11" t="n"/>
      <c r="D92" s="47" t="n"/>
      <c r="E92" s="48" t="n"/>
      <c r="F92" s="45" t="n"/>
      <c r="G92" s="51">
        <f>IF(A92="","",IFERROR(VLOOKUP("Taux de TVA principal",'Hypothèses'!$A$5:$B$24,2,FALSE),0))</f>
        <v/>
      </c>
      <c r="H92" s="52">
        <f>IF(A92="","",IFERROR(E92*F92,0))</f>
        <v/>
      </c>
      <c r="I92" s="52">
        <f>IF(A92="","",IFERROR(H92*(1+G92),0))</f>
        <v/>
      </c>
      <c r="J92" s="48" t="n"/>
      <c r="K92" s="52">
        <f>IF(A92="","",IFERROR(H92/J92,0))</f>
        <v/>
      </c>
      <c r="L92" s="16" t="n"/>
    </row>
    <row r="93">
      <c r="A93" s="11" t="n"/>
      <c r="B93" s="11" t="n"/>
      <c r="C93" s="11" t="n"/>
      <c r="D93" s="47" t="n"/>
      <c r="E93" s="48" t="n"/>
      <c r="F93" s="45" t="n"/>
      <c r="G93" s="49">
        <f>IF(A93="","",IFERROR(VLOOKUP("Taux de TVA principal",'Hypothèses'!$A$5:$B$24,2,FALSE),0))</f>
        <v/>
      </c>
      <c r="H93" s="50">
        <f>IF(A93="","",IFERROR(E93*F93,0))</f>
        <v/>
      </c>
      <c r="I93" s="50">
        <f>IF(A93="","",IFERROR(H93*(1+G93),0))</f>
        <v/>
      </c>
      <c r="J93" s="48" t="n"/>
      <c r="K93" s="50">
        <f>IF(A93="","",IFERROR(H93/J93,0))</f>
        <v/>
      </c>
      <c r="L93" s="16" t="n"/>
    </row>
    <row r="94">
      <c r="A94" s="11" t="n"/>
      <c r="B94" s="11" t="n"/>
      <c r="C94" s="11" t="n"/>
      <c r="D94" s="47" t="n"/>
      <c r="E94" s="48" t="n"/>
      <c r="F94" s="45" t="n"/>
      <c r="G94" s="51">
        <f>IF(A94="","",IFERROR(VLOOKUP("Taux de TVA principal",'Hypothèses'!$A$5:$B$24,2,FALSE),0))</f>
        <v/>
      </c>
      <c r="H94" s="52">
        <f>IF(A94="","",IFERROR(E94*F94,0))</f>
        <v/>
      </c>
      <c r="I94" s="52">
        <f>IF(A94="","",IFERROR(H94*(1+G94),0))</f>
        <v/>
      </c>
      <c r="J94" s="48" t="n"/>
      <c r="K94" s="52">
        <f>IF(A94="","",IFERROR(H94/J94,0))</f>
        <v/>
      </c>
      <c r="L94" s="16" t="n"/>
    </row>
    <row r="95">
      <c r="A95" s="11" t="n"/>
      <c r="B95" s="11" t="n"/>
      <c r="C95" s="11" t="n"/>
      <c r="D95" s="47" t="n"/>
      <c r="E95" s="48" t="n"/>
      <c r="F95" s="45" t="n"/>
      <c r="G95" s="49">
        <f>IF(A95="","",IFERROR(VLOOKUP("Taux de TVA principal",'Hypothèses'!$A$5:$B$24,2,FALSE),0))</f>
        <v/>
      </c>
      <c r="H95" s="50">
        <f>IF(A95="","",IFERROR(E95*F95,0))</f>
        <v/>
      </c>
      <c r="I95" s="50">
        <f>IF(A95="","",IFERROR(H95*(1+G95),0))</f>
        <v/>
      </c>
      <c r="J95" s="48" t="n"/>
      <c r="K95" s="50">
        <f>IF(A95="","",IFERROR(H95/J95,0))</f>
        <v/>
      </c>
      <c r="L95" s="16" t="n"/>
    </row>
    <row r="96">
      <c r="A96" s="11" t="n"/>
      <c r="B96" s="11" t="n"/>
      <c r="C96" s="11" t="n"/>
      <c r="D96" s="47" t="n"/>
      <c r="E96" s="48" t="n"/>
      <c r="F96" s="45" t="n"/>
      <c r="G96" s="51">
        <f>IF(A96="","",IFERROR(VLOOKUP("Taux de TVA principal",'Hypothèses'!$A$5:$B$24,2,FALSE),0))</f>
        <v/>
      </c>
      <c r="H96" s="52">
        <f>IF(A96="","",IFERROR(E96*F96,0))</f>
        <v/>
      </c>
      <c r="I96" s="52">
        <f>IF(A96="","",IFERROR(H96*(1+G96),0))</f>
        <v/>
      </c>
      <c r="J96" s="48" t="n"/>
      <c r="K96" s="52">
        <f>IF(A96="","",IFERROR(H96/J96,0))</f>
        <v/>
      </c>
      <c r="L96" s="16" t="n"/>
    </row>
    <row r="97">
      <c r="A97" s="11" t="n"/>
      <c r="B97" s="11" t="n"/>
      <c r="C97" s="11" t="n"/>
      <c r="D97" s="47" t="n"/>
      <c r="E97" s="48" t="n"/>
      <c r="F97" s="45" t="n"/>
      <c r="G97" s="49">
        <f>IF(A97="","",IFERROR(VLOOKUP("Taux de TVA principal",'Hypothèses'!$A$5:$B$24,2,FALSE),0))</f>
        <v/>
      </c>
      <c r="H97" s="50">
        <f>IF(A97="","",IFERROR(E97*F97,0))</f>
        <v/>
      </c>
      <c r="I97" s="50">
        <f>IF(A97="","",IFERROR(H97*(1+G97),0))</f>
        <v/>
      </c>
      <c r="J97" s="48" t="n"/>
      <c r="K97" s="50">
        <f>IF(A97="","",IFERROR(H97/J97,0))</f>
        <v/>
      </c>
      <c r="L97" s="16" t="n"/>
    </row>
    <row r="98">
      <c r="A98" s="11" t="n"/>
      <c r="B98" s="11" t="n"/>
      <c r="C98" s="11" t="n"/>
      <c r="D98" s="47" t="n"/>
      <c r="E98" s="48" t="n"/>
      <c r="F98" s="45" t="n"/>
      <c r="G98" s="51">
        <f>IF(A98="","",IFERROR(VLOOKUP("Taux de TVA principal",'Hypothèses'!$A$5:$B$24,2,FALSE),0))</f>
        <v/>
      </c>
      <c r="H98" s="52">
        <f>IF(A98="","",IFERROR(E98*F98,0))</f>
        <v/>
      </c>
      <c r="I98" s="52">
        <f>IF(A98="","",IFERROR(H98*(1+G98),0))</f>
        <v/>
      </c>
      <c r="J98" s="48" t="n"/>
      <c r="K98" s="52">
        <f>IF(A98="","",IFERROR(H98/J98,0))</f>
        <v/>
      </c>
      <c r="L98" s="16" t="n"/>
    </row>
    <row r="99">
      <c r="A99" s="11" t="n"/>
      <c r="B99" s="11" t="n"/>
      <c r="C99" s="11" t="n"/>
      <c r="D99" s="47" t="n"/>
      <c r="E99" s="48" t="n"/>
      <c r="F99" s="45" t="n"/>
      <c r="G99" s="49">
        <f>IF(A99="","",IFERROR(VLOOKUP("Taux de TVA principal",'Hypothèses'!$A$5:$B$24,2,FALSE),0))</f>
        <v/>
      </c>
      <c r="H99" s="50">
        <f>IF(A99="","",IFERROR(E99*F99,0))</f>
        <v/>
      </c>
      <c r="I99" s="50">
        <f>IF(A99="","",IFERROR(H99*(1+G99),0))</f>
        <v/>
      </c>
      <c r="J99" s="48" t="n"/>
      <c r="K99" s="50">
        <f>IF(A99="","",IFERROR(H99/J99,0))</f>
        <v/>
      </c>
      <c r="L99" s="16" t="n"/>
    </row>
    <row r="100">
      <c r="A100" s="11" t="n"/>
      <c r="B100" s="11" t="n"/>
      <c r="C100" s="11" t="n"/>
      <c r="D100" s="47" t="n"/>
      <c r="E100" s="48" t="n"/>
      <c r="F100" s="45" t="n"/>
      <c r="G100" s="51">
        <f>IF(A100="","",IFERROR(VLOOKUP("Taux de TVA principal",'Hypothèses'!$A$5:$B$24,2,FALSE),0))</f>
        <v/>
      </c>
      <c r="H100" s="52">
        <f>IF(A100="","",IFERROR(E100*F100,0))</f>
        <v/>
      </c>
      <c r="I100" s="52">
        <f>IF(A100="","",IFERROR(H100*(1+G100),0))</f>
        <v/>
      </c>
      <c r="J100" s="48" t="n"/>
      <c r="K100" s="52">
        <f>IF(A100="","",IFERROR(H100/J100,0))</f>
        <v/>
      </c>
      <c r="L100" s="16" t="n"/>
    </row>
    <row r="101">
      <c r="A101" s="11" t="n"/>
      <c r="B101" s="11" t="n"/>
      <c r="C101" s="11" t="n"/>
      <c r="D101" s="47" t="n"/>
      <c r="E101" s="48" t="n"/>
      <c r="F101" s="45" t="n"/>
      <c r="G101" s="49">
        <f>IF(A101="","",IFERROR(VLOOKUP("Taux de TVA principal",'Hypothèses'!$A$5:$B$24,2,FALSE),0))</f>
        <v/>
      </c>
      <c r="H101" s="50">
        <f>IF(A101="","",IFERROR(E101*F101,0))</f>
        <v/>
      </c>
      <c r="I101" s="50">
        <f>IF(A101="","",IFERROR(H101*(1+G101),0))</f>
        <v/>
      </c>
      <c r="J101" s="48" t="n"/>
      <c r="K101" s="50">
        <f>IF(A101="","",IFERROR(H101/J101,0))</f>
        <v/>
      </c>
      <c r="L101" s="16" t="n"/>
    </row>
    <row r="102">
      <c r="A102" s="11" t="n"/>
      <c r="B102" s="11" t="n"/>
      <c r="C102" s="11" t="n"/>
      <c r="D102" s="47" t="n"/>
      <c r="E102" s="48" t="n"/>
      <c r="F102" s="45" t="n"/>
      <c r="G102" s="51">
        <f>IF(A102="","",IFERROR(VLOOKUP("Taux de TVA principal",'Hypothèses'!$A$5:$B$24,2,FALSE),0))</f>
        <v/>
      </c>
      <c r="H102" s="52">
        <f>IF(A102="","",IFERROR(E102*F102,0))</f>
        <v/>
      </c>
      <c r="I102" s="52">
        <f>IF(A102="","",IFERROR(H102*(1+G102),0))</f>
        <v/>
      </c>
      <c r="J102" s="48" t="n"/>
      <c r="K102" s="52">
        <f>IF(A102="","",IFERROR(H102/J102,0))</f>
        <v/>
      </c>
      <c r="L102" s="16" t="n"/>
    </row>
    <row r="103">
      <c r="A103" s="11" t="n"/>
      <c r="B103" s="11" t="n"/>
      <c r="C103" s="11" t="n"/>
      <c r="D103" s="47" t="n"/>
      <c r="E103" s="48" t="n"/>
      <c r="F103" s="45" t="n"/>
      <c r="G103" s="49">
        <f>IF(A103="","",IFERROR(VLOOKUP("Taux de TVA principal",'Hypothèses'!$A$5:$B$24,2,FALSE),0))</f>
        <v/>
      </c>
      <c r="H103" s="50">
        <f>IF(A103="","",IFERROR(E103*F103,0))</f>
        <v/>
      </c>
      <c r="I103" s="50">
        <f>IF(A103="","",IFERROR(H103*(1+G103),0))</f>
        <v/>
      </c>
      <c r="J103" s="48" t="n"/>
      <c r="K103" s="50">
        <f>IF(A103="","",IFERROR(H103/J103,0))</f>
        <v/>
      </c>
      <c r="L103" s="16" t="n"/>
    </row>
    <row r="104">
      <c r="A104" s="11" t="n"/>
      <c r="B104" s="11" t="n"/>
      <c r="C104" s="11" t="n"/>
      <c r="D104" s="47" t="n"/>
      <c r="E104" s="48" t="n"/>
      <c r="F104" s="45" t="n"/>
      <c r="G104" s="51">
        <f>IF(A104="","",IFERROR(VLOOKUP("Taux de TVA principal",'Hypothèses'!$A$5:$B$24,2,FALSE),0))</f>
        <v/>
      </c>
      <c r="H104" s="52">
        <f>IF(A104="","",IFERROR(E104*F104,0))</f>
        <v/>
      </c>
      <c r="I104" s="52">
        <f>IF(A104="","",IFERROR(H104*(1+G104),0))</f>
        <v/>
      </c>
      <c r="J104" s="48" t="n"/>
      <c r="K104" s="52">
        <f>IF(A104="","",IFERROR(H104/J104,0))</f>
        <v/>
      </c>
      <c r="L104" s="16" t="n"/>
    </row>
    <row r="105">
      <c r="A105" s="19" t="inlineStr">
        <is>
          <t>Total</t>
        </is>
      </c>
      <c r="B105" s="19" t="n"/>
      <c r="C105" s="19" t="n"/>
      <c r="D105" s="19" t="n"/>
      <c r="E105" s="19" t="n"/>
      <c r="F105" s="19" t="n"/>
      <c r="G105" s="19" t="n"/>
      <c r="H105" s="53">
        <f>SUM(H5:H104)</f>
        <v/>
      </c>
      <c r="I105" s="53">
        <f>SUM(I5:I104)</f>
        <v/>
      </c>
      <c r="J105" s="19" t="n"/>
      <c r="K105" s="53">
        <f>SUM(K5:K104)</f>
        <v/>
      </c>
      <c r="L105" s="19" t="n"/>
    </row>
    <row r="106"/>
    <row r="107">
      <c r="A107" s="21" t="inlineStr">
        <is>
          <t>Contrôle budgétaire</t>
        </is>
      </c>
      <c r="B107" s="21" t="inlineStr">
        <is>
          <t>Valeur</t>
        </is>
      </c>
    </row>
    <row r="108">
      <c r="A108" s="22" t="inlineStr">
        <is>
          <t>Couverture des investissements</t>
        </is>
      </c>
      <c r="B108" s="22">
        <f>IF($I$105&lt;='Hypothèses'!$B$21,"Budget couvert","Financement complémentaire requis")</f>
        <v/>
      </c>
    </row>
    <row r="109">
      <c r="A109" s="22" t="inlineStr">
        <is>
          <t>Financement complémentaire estimé</t>
        </is>
      </c>
      <c r="B109" s="54">
        <f>MAX(0,$I$105-'Hypothèses'!$B$21)</f>
        <v/>
      </c>
    </row>
  </sheetData>
  <autoFilter ref="A4:L104"/>
  <mergeCells count="1">
    <mergeCell ref="A1:L1"/>
  </mergeCells>
  <conditionalFormatting sqref="L5:L104">
    <cfRule type="expression" priority="1" dxfId="0">
      <formula>L5="Reporté"</formula>
    </cfRule>
  </conditionalFormatting>
  <conditionalFormatting sqref="B108">
    <cfRule type="expression" priority="2" dxfId="1">
      <formula>B108="Budget couvert"</formula>
    </cfRule>
    <cfRule type="expression" priority="3" dxfId="0">
      <formula>B108="Financement complémentaire requis"</formula>
    </cfRule>
  </conditionalFormatting>
  <dataValidations count="5">
    <dataValidation sqref="A5:A104" showErrorMessage="1" showInputMessage="1" allowBlank="0" type="list">
      <formula1>"Travaux,Terrains,Équipements,Informatique,Mobilier,Marketing,Sécurité"</formula1>
    </dataValidation>
    <dataValidation sqref="D5:D104" showErrorMessage="1" showInputMessage="1" allowBlank="0" type="date" operator="greaterThan">
      <formula1>1</formula1>
    </dataValidation>
    <dataValidation sqref="E5:E104" showErrorMessage="1" showInputMessage="1" allowBlank="0" type="whole" operator="greaterThan">
      <formula1>0</formula1>
    </dataValidation>
    <dataValidation sqref="J5:J104" showErrorMessage="1" showInputMessage="1" allowBlank="0" type="whole" operator="between">
      <formula1>1</formula1>
      <formula2>30</formula2>
    </dataValidation>
    <dataValidation sqref="L5:L104" showErrorMessage="1" showInputMessage="1" allowBlank="0" type="list">
      <formula1>"Prévu,Commandé,Payé,Reporté"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U1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7" customWidth="1" min="2" max="2"/>
    <col width="17" customWidth="1" min="3" max="3"/>
    <col width="16" customWidth="1" min="4" max="4"/>
    <col width="18" customWidth="1" min="5" max="5"/>
    <col width="18" customWidth="1" min="6" max="6"/>
    <col hidden="1" width="18" customWidth="1" min="7" max="7"/>
    <col hidden="1" width="18" customWidth="1" min="8" max="8"/>
    <col width="18" customWidth="1" min="9" max="9"/>
    <col width="18" customWidth="1" min="10" max="10"/>
    <col width="18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  <col width="18" customWidth="1" min="19" max="19"/>
    <col width="14" customWidth="1" min="20" max="20"/>
    <col width="17" customWidth="1" min="21" max="21"/>
  </cols>
  <sheetData>
    <row r="1" ht="28" customHeight="1">
      <c r="A1" s="1" t="inlineStr">
        <is>
          <t>Prévisionnel mensuel et synthèse annuelle</t>
        </is>
      </c>
    </row>
    <row r="2">
      <c r="A2" s="2" t="inlineStr">
        <is>
          <t>Renseigner les mois et les taux d'occupation. Les autres indicateurs sont calculés à partir des hypothèses.</t>
        </is>
      </c>
    </row>
    <row r="3"/>
    <row r="4">
      <c r="A4" s="3" t="inlineStr">
        <is>
          <t>Mois</t>
        </is>
      </c>
      <c r="B4" s="3" t="inlineStr">
        <is>
          <t>Taux d'occupation</t>
        </is>
      </c>
      <c r="C4" s="3" t="inlineStr">
        <is>
          <t>Heures disponibles</t>
        </is>
      </c>
      <c r="D4" s="3" t="inlineStr">
        <is>
          <t>Heures vendues</t>
        </is>
      </c>
      <c r="E4" s="3" t="inlineStr">
        <is>
          <t>CA réservation terrains HT</t>
        </is>
      </c>
      <c r="F4" s="3" t="inlineStr">
        <is>
          <t>CA abonnements HT</t>
        </is>
      </c>
      <c r="G4" s="3" t="inlineStr">
        <is>
          <t>CA coaching / stages HT</t>
        </is>
      </c>
      <c r="H4" s="3" t="inlineStr">
        <is>
          <t>CA bar / boutique HT</t>
        </is>
      </c>
      <c r="I4" s="3" t="inlineStr">
        <is>
          <t>CA total HT</t>
        </is>
      </c>
      <c r="J4" s="3" t="inlineStr">
        <is>
          <t>TVA collectée</t>
        </is>
      </c>
      <c r="K4" s="3" t="inlineStr">
        <is>
          <t>Charges variables</t>
        </is>
      </c>
      <c r="L4" s="3" t="inlineStr">
        <is>
          <t>Masse salariale</t>
        </is>
      </c>
      <c r="M4" s="3" t="inlineStr">
        <is>
          <t>Loyer</t>
        </is>
      </c>
      <c r="N4" s="3" t="inlineStr">
        <is>
          <t>Marketing</t>
        </is>
      </c>
      <c r="O4" s="3" t="inlineStr">
        <is>
          <t>Autres charges</t>
        </is>
      </c>
      <c r="P4" s="3" t="inlineStr">
        <is>
          <t>EBITDA</t>
        </is>
      </c>
      <c r="Q4" s="3" t="inlineStr">
        <is>
          <t>Amortissements</t>
        </is>
      </c>
      <c r="R4" s="3" t="inlineStr">
        <is>
          <t>Résultat d'exploitation</t>
        </is>
      </c>
      <c r="S4" s="3" t="inlineStr">
        <is>
          <t>Trésorerie nette mensuelle</t>
        </is>
      </c>
      <c r="T4" s="3" t="inlineStr">
        <is>
          <t>Marge EBITDA</t>
        </is>
      </c>
      <c r="U4" s="3" t="inlineStr">
        <is>
          <t>Objectif occupation</t>
        </is>
      </c>
    </row>
    <row r="5">
      <c r="A5" s="47" t="n">
        <v>46082</v>
      </c>
      <c r="B5" s="55" t="n">
        <v>0.28</v>
      </c>
      <c r="C5" s="56">
        <f>IF(A5="","",IFERROR((VLOOKUP("Nombre de terrains indoor",'Hypothèses'!$A$5:$B$24,2,FALSE)+VLOOKUP("Nombre de terrains outdoor",'Hypothèses'!$A$5:$B$24,2,FALSE))*VLOOKUP("Heures d'ouverture par terrain / mois",'Hypothèses'!$A$5:$B$24,2,FALSE),0))</f>
        <v/>
      </c>
      <c r="D5" s="56">
        <f>IF(A5="","",IFERROR(C5*B5,0))</f>
        <v/>
      </c>
      <c r="E5" s="50">
        <f>IF(A5="","",IFERROR(D5*VLOOKUP("Prix moyen réservation terrain",'Hypothèses'!$A$5:$B$24,2,FALSE),0))</f>
        <v/>
      </c>
      <c r="F5" s="50">
        <f>IF(A5="","",IFERROR(VLOOKUP("Nombre d'abonnés année 1",'Hypothèses'!$A$5:$B$24,2,FALSE)*VLOOKUP("Abonnement mensuel moyen",'Hypothèses'!$A$5:$B$24,2,FALSE),0))</f>
        <v/>
      </c>
      <c r="G5" s="50">
        <f>IF(A5="","",IFERROR(E5*VLOOKUP("Taux de CA coaching / stages",'Hypothèses'!$A$5:$B$24,2,FALSE),0))</f>
        <v/>
      </c>
      <c r="H5" s="50">
        <f>IF(A5="","",IFERROR(D5*VLOOKUP("Panier moyen bar / boutique",'Hypothèses'!$A$5:$B$24,2,FALSE),0))</f>
        <v/>
      </c>
      <c r="I5" s="50">
        <f>IF(A5="","",SUM(E5:H5))</f>
        <v/>
      </c>
      <c r="J5" s="50">
        <f>IF(A5="","",IFERROR(I5*VLOOKUP("Taux de TVA principal",'Hypothèses'!$A$5:$B$24,2,FALSE),0))</f>
        <v/>
      </c>
      <c r="K5" s="50">
        <f>IF(A5="","",IFERROR(I5*VLOOKUP("Taux de charges variables",'Hypothèses'!$A$5:$B$24,2,FALSE),0))</f>
        <v/>
      </c>
      <c r="L5" s="50">
        <f>IF(A5="","",IFERROR(VLOOKUP("Masse salariale annuelle",'Hypothèses'!$A$5:$B$24,2,FALSE)/12,0))</f>
        <v/>
      </c>
      <c r="M5" s="50">
        <f>IF(A5="","",IFERROR(VLOOKUP("Loyer annuel",'Hypothèses'!$A$5:$B$24,2,FALSE)/12,0))</f>
        <v/>
      </c>
      <c r="N5" s="50">
        <f>IF(A5="","",IFERROR(VLOOKUP("Budget marketing annuel",'Hypothèses'!$A$5:$B$24,2,FALSE)/12,0))</f>
        <v/>
      </c>
      <c r="O5" s="50">
        <f>IF(A5="","",IFERROR(VLOOKUP("Autres charges mensuelles",'Hypothèses'!$A$5:$B$24,2,FALSE),0))</f>
        <v/>
      </c>
      <c r="P5" s="50">
        <f>IF(A5="","",IFERROR(I5-SUM(K5:O5),0))</f>
        <v/>
      </c>
      <c r="Q5" s="50">
        <f>IF(A5="","",IFERROR('Investissements'!$K$105/12,0))</f>
        <v/>
      </c>
      <c r="R5" s="50">
        <f>IF(A5="","",IFERROR(P5-Q5,0))</f>
        <v/>
      </c>
      <c r="S5" s="50">
        <f>IF(A5="","",'Hypothèses'!$B$21+SUM($P$5:P5)-SUMIFS('Investissements'!$I$5:$I$104,'Investissements'!$D$5:$D$104,"&lt;="&amp;(A5+32-DAY(A5+32))))</f>
        <v/>
      </c>
      <c r="T5" s="57">
        <f>IF(A5="","",IFERROR(P5/I5,0))</f>
        <v/>
      </c>
      <c r="U5" s="57">
        <f>IF(A5="","",IFERROR(VLOOKUP("Taux d'occupation cible année 1",'Hypothèses'!$A$5:$B$24,2,FALSE),0))</f>
        <v/>
      </c>
    </row>
    <row r="6">
      <c r="A6" s="47" t="n">
        <v>46113</v>
      </c>
      <c r="B6" s="55" t="n">
        <v>0.3</v>
      </c>
      <c r="C6" s="58">
        <f>IF(A6="","",IFERROR((VLOOKUP("Nombre de terrains indoor",'Hypothèses'!$A$5:$B$24,2,FALSE)+VLOOKUP("Nombre de terrains outdoor",'Hypothèses'!$A$5:$B$24,2,FALSE))*VLOOKUP("Heures d'ouverture par terrain / mois",'Hypothèses'!$A$5:$B$24,2,FALSE),0))</f>
        <v/>
      </c>
      <c r="D6" s="58">
        <f>IF(A6="","",IFERROR(C6*B6,0))</f>
        <v/>
      </c>
      <c r="E6" s="52">
        <f>IF(A6="","",IFERROR(D6*VLOOKUP("Prix moyen réservation terrain",'Hypothèses'!$A$5:$B$24,2,FALSE),0))</f>
        <v/>
      </c>
      <c r="F6" s="52">
        <f>IF(A6="","",IFERROR(VLOOKUP("Nombre d'abonnés année 1",'Hypothèses'!$A$5:$B$24,2,FALSE)*VLOOKUP("Abonnement mensuel moyen",'Hypothèses'!$A$5:$B$24,2,FALSE),0))</f>
        <v/>
      </c>
      <c r="G6" s="52">
        <f>IF(A6="","",IFERROR(E6*VLOOKUP("Taux de CA coaching / stages",'Hypothèses'!$A$5:$B$24,2,FALSE),0))</f>
        <v/>
      </c>
      <c r="H6" s="52">
        <f>IF(A6="","",IFERROR(D6*VLOOKUP("Panier moyen bar / boutique",'Hypothèses'!$A$5:$B$24,2,FALSE),0))</f>
        <v/>
      </c>
      <c r="I6" s="52">
        <f>IF(A6="","",SUM(E6:H6))</f>
        <v/>
      </c>
      <c r="J6" s="52">
        <f>IF(A6="","",IFERROR(I6*VLOOKUP("Taux de TVA principal",'Hypothèses'!$A$5:$B$24,2,FALSE),0))</f>
        <v/>
      </c>
      <c r="K6" s="52">
        <f>IF(A6="","",IFERROR(I6*VLOOKUP("Taux de charges variables",'Hypothèses'!$A$5:$B$24,2,FALSE),0))</f>
        <v/>
      </c>
      <c r="L6" s="52">
        <f>IF(A6="","",IFERROR(VLOOKUP("Masse salariale annuelle",'Hypothèses'!$A$5:$B$24,2,FALSE)/12,0))</f>
        <v/>
      </c>
      <c r="M6" s="52">
        <f>IF(A6="","",IFERROR(VLOOKUP("Loyer annuel",'Hypothèses'!$A$5:$B$24,2,FALSE)/12,0))</f>
        <v/>
      </c>
      <c r="N6" s="52">
        <f>IF(A6="","",IFERROR(VLOOKUP("Budget marketing annuel",'Hypothèses'!$A$5:$B$24,2,FALSE)/12,0))</f>
        <v/>
      </c>
      <c r="O6" s="52">
        <f>IF(A6="","",IFERROR(VLOOKUP("Autres charges mensuelles",'Hypothèses'!$A$5:$B$24,2,FALSE),0))</f>
        <v/>
      </c>
      <c r="P6" s="52">
        <f>IF(A6="","",IFERROR(I6-SUM(K6:O6),0))</f>
        <v/>
      </c>
      <c r="Q6" s="52">
        <f>IF(A6="","",IFERROR('Investissements'!$K$105/12,0))</f>
        <v/>
      </c>
      <c r="R6" s="52">
        <f>IF(A6="","",IFERROR(P6-Q6,0))</f>
        <v/>
      </c>
      <c r="S6" s="52">
        <f>IF(A6="","",'Hypothèses'!$B$21+SUM($P$5:P6)-SUMIFS('Investissements'!$I$5:$I$104,'Investissements'!$D$5:$D$104,"&lt;="&amp;(A6+32-DAY(A6+32))))</f>
        <v/>
      </c>
      <c r="T6" s="59">
        <f>IF(A6="","",IFERROR(P6/I6,0))</f>
        <v/>
      </c>
      <c r="U6" s="59">
        <f>IF(A6="","",IFERROR(VLOOKUP("Taux d'occupation cible année 1",'Hypothèses'!$A$5:$B$24,2,FALSE),0))</f>
        <v/>
      </c>
    </row>
    <row r="7">
      <c r="A7" s="47" t="n">
        <v>46143</v>
      </c>
      <c r="B7" s="55" t="n">
        <v>0.33</v>
      </c>
      <c r="C7" s="56">
        <f>IF(A7="","",IFERROR((VLOOKUP("Nombre de terrains indoor",'Hypothèses'!$A$5:$B$24,2,FALSE)+VLOOKUP("Nombre de terrains outdoor",'Hypothèses'!$A$5:$B$24,2,FALSE))*VLOOKUP("Heures d'ouverture par terrain / mois",'Hypothèses'!$A$5:$B$24,2,FALSE),0))</f>
        <v/>
      </c>
      <c r="D7" s="56">
        <f>IF(A7="","",IFERROR(C7*B7,0))</f>
        <v/>
      </c>
      <c r="E7" s="50">
        <f>IF(A7="","",IFERROR(D7*VLOOKUP("Prix moyen réservation terrain",'Hypothèses'!$A$5:$B$24,2,FALSE),0))</f>
        <v/>
      </c>
      <c r="F7" s="50">
        <f>IF(A7="","",IFERROR(VLOOKUP("Nombre d'abonnés année 1",'Hypothèses'!$A$5:$B$24,2,FALSE)*VLOOKUP("Abonnement mensuel moyen",'Hypothèses'!$A$5:$B$24,2,FALSE),0))</f>
        <v/>
      </c>
      <c r="G7" s="50">
        <f>IF(A7="","",IFERROR(E7*VLOOKUP("Taux de CA coaching / stages",'Hypothèses'!$A$5:$B$24,2,FALSE),0))</f>
        <v/>
      </c>
      <c r="H7" s="50">
        <f>IF(A7="","",IFERROR(D7*VLOOKUP("Panier moyen bar / boutique",'Hypothèses'!$A$5:$B$24,2,FALSE),0))</f>
        <v/>
      </c>
      <c r="I7" s="50">
        <f>IF(A7="","",SUM(E7:H7))</f>
        <v/>
      </c>
      <c r="J7" s="50">
        <f>IF(A7="","",IFERROR(I7*VLOOKUP("Taux de TVA principal",'Hypothèses'!$A$5:$B$24,2,FALSE),0))</f>
        <v/>
      </c>
      <c r="K7" s="50">
        <f>IF(A7="","",IFERROR(I7*VLOOKUP("Taux de charges variables",'Hypothèses'!$A$5:$B$24,2,FALSE),0))</f>
        <v/>
      </c>
      <c r="L7" s="50">
        <f>IF(A7="","",IFERROR(VLOOKUP("Masse salariale annuelle",'Hypothèses'!$A$5:$B$24,2,FALSE)/12,0))</f>
        <v/>
      </c>
      <c r="M7" s="50">
        <f>IF(A7="","",IFERROR(VLOOKUP("Loyer annuel",'Hypothèses'!$A$5:$B$24,2,FALSE)/12,0))</f>
        <v/>
      </c>
      <c r="N7" s="50">
        <f>IF(A7="","",IFERROR(VLOOKUP("Budget marketing annuel",'Hypothèses'!$A$5:$B$24,2,FALSE)/12,0))</f>
        <v/>
      </c>
      <c r="O7" s="50">
        <f>IF(A7="","",IFERROR(VLOOKUP("Autres charges mensuelles",'Hypothèses'!$A$5:$B$24,2,FALSE),0))</f>
        <v/>
      </c>
      <c r="P7" s="50">
        <f>IF(A7="","",IFERROR(I7-SUM(K7:O7),0))</f>
        <v/>
      </c>
      <c r="Q7" s="50">
        <f>IF(A7="","",IFERROR('Investissements'!$K$105/12,0))</f>
        <v/>
      </c>
      <c r="R7" s="50">
        <f>IF(A7="","",IFERROR(P7-Q7,0))</f>
        <v/>
      </c>
      <c r="S7" s="50">
        <f>IF(A7="","",'Hypothèses'!$B$21+SUM($P$5:P7)-SUMIFS('Investissements'!$I$5:$I$104,'Investissements'!$D$5:$D$104,"&lt;="&amp;(A7+32-DAY(A7+32))))</f>
        <v/>
      </c>
      <c r="T7" s="57">
        <f>IF(A7="","",IFERROR(P7/I7,0))</f>
        <v/>
      </c>
      <c r="U7" s="57">
        <f>IF(A7="","",IFERROR(VLOOKUP("Taux d'occupation cible année 1",'Hypothèses'!$A$5:$B$24,2,FALSE),0))</f>
        <v/>
      </c>
    </row>
    <row r="8">
      <c r="A8" s="47" t="n">
        <v>46174</v>
      </c>
      <c r="B8" s="55" t="n">
        <v>0.36</v>
      </c>
      <c r="C8" s="58">
        <f>IF(A8="","",IFERROR((VLOOKUP("Nombre de terrains indoor",'Hypothèses'!$A$5:$B$24,2,FALSE)+VLOOKUP("Nombre de terrains outdoor",'Hypothèses'!$A$5:$B$24,2,FALSE))*VLOOKUP("Heures d'ouverture par terrain / mois",'Hypothèses'!$A$5:$B$24,2,FALSE),0))</f>
        <v/>
      </c>
      <c r="D8" s="58">
        <f>IF(A8="","",IFERROR(C8*B8,0))</f>
        <v/>
      </c>
      <c r="E8" s="52">
        <f>IF(A8="","",IFERROR(D8*VLOOKUP("Prix moyen réservation terrain",'Hypothèses'!$A$5:$B$24,2,FALSE),0))</f>
        <v/>
      </c>
      <c r="F8" s="52">
        <f>IF(A8="","",IFERROR(VLOOKUP("Nombre d'abonnés année 1",'Hypothèses'!$A$5:$B$24,2,FALSE)*VLOOKUP("Abonnement mensuel moyen",'Hypothèses'!$A$5:$B$24,2,FALSE),0))</f>
        <v/>
      </c>
      <c r="G8" s="52">
        <f>IF(A8="","",IFERROR(E8*VLOOKUP("Taux de CA coaching / stages",'Hypothèses'!$A$5:$B$24,2,FALSE),0))</f>
        <v/>
      </c>
      <c r="H8" s="52">
        <f>IF(A8="","",IFERROR(D8*VLOOKUP("Panier moyen bar / boutique",'Hypothèses'!$A$5:$B$24,2,FALSE),0))</f>
        <v/>
      </c>
      <c r="I8" s="52">
        <f>IF(A8="","",SUM(E8:H8))</f>
        <v/>
      </c>
      <c r="J8" s="52">
        <f>IF(A8="","",IFERROR(I8*VLOOKUP("Taux de TVA principal",'Hypothèses'!$A$5:$B$24,2,FALSE),0))</f>
        <v/>
      </c>
      <c r="K8" s="52">
        <f>IF(A8="","",IFERROR(I8*VLOOKUP("Taux de charges variables",'Hypothèses'!$A$5:$B$24,2,FALSE),0))</f>
        <v/>
      </c>
      <c r="L8" s="52">
        <f>IF(A8="","",IFERROR(VLOOKUP("Masse salariale annuelle",'Hypothèses'!$A$5:$B$24,2,FALSE)/12,0))</f>
        <v/>
      </c>
      <c r="M8" s="52">
        <f>IF(A8="","",IFERROR(VLOOKUP("Loyer annuel",'Hypothèses'!$A$5:$B$24,2,FALSE)/12,0))</f>
        <v/>
      </c>
      <c r="N8" s="52">
        <f>IF(A8="","",IFERROR(VLOOKUP("Budget marketing annuel",'Hypothèses'!$A$5:$B$24,2,FALSE)/12,0))</f>
        <v/>
      </c>
      <c r="O8" s="52">
        <f>IF(A8="","",IFERROR(VLOOKUP("Autres charges mensuelles",'Hypothèses'!$A$5:$B$24,2,FALSE),0))</f>
        <v/>
      </c>
      <c r="P8" s="52">
        <f>IF(A8="","",IFERROR(I8-SUM(K8:O8),0))</f>
        <v/>
      </c>
      <c r="Q8" s="52">
        <f>IF(A8="","",IFERROR('Investissements'!$K$105/12,0))</f>
        <v/>
      </c>
      <c r="R8" s="52">
        <f>IF(A8="","",IFERROR(P8-Q8,0))</f>
        <v/>
      </c>
      <c r="S8" s="52">
        <f>IF(A8="","",'Hypothèses'!$B$21+SUM($P$5:P8)-SUMIFS('Investissements'!$I$5:$I$104,'Investissements'!$D$5:$D$104,"&lt;="&amp;(A8+32-DAY(A8+32))))</f>
        <v/>
      </c>
      <c r="T8" s="59">
        <f>IF(A8="","",IFERROR(P8/I8,0))</f>
        <v/>
      </c>
      <c r="U8" s="59">
        <f>IF(A8="","",IFERROR(VLOOKUP("Taux d'occupation cible année 1",'Hypothèses'!$A$5:$B$24,2,FALSE),0))</f>
        <v/>
      </c>
    </row>
    <row r="9">
      <c r="A9" s="47" t="n">
        <v>46204</v>
      </c>
      <c r="B9" s="55" t="n">
        <v>0.39</v>
      </c>
      <c r="C9" s="56">
        <f>IF(A9="","",IFERROR((VLOOKUP("Nombre de terrains indoor",'Hypothèses'!$A$5:$B$24,2,FALSE)+VLOOKUP("Nombre de terrains outdoor",'Hypothèses'!$A$5:$B$24,2,FALSE))*VLOOKUP("Heures d'ouverture par terrain / mois",'Hypothèses'!$A$5:$B$24,2,FALSE),0))</f>
        <v/>
      </c>
      <c r="D9" s="56">
        <f>IF(A9="","",IFERROR(C9*B9,0))</f>
        <v/>
      </c>
      <c r="E9" s="50">
        <f>IF(A9="","",IFERROR(D9*VLOOKUP("Prix moyen réservation terrain",'Hypothèses'!$A$5:$B$24,2,FALSE),0))</f>
        <v/>
      </c>
      <c r="F9" s="50">
        <f>IF(A9="","",IFERROR(VLOOKUP("Nombre d'abonnés année 1",'Hypothèses'!$A$5:$B$24,2,FALSE)*VLOOKUP("Abonnement mensuel moyen",'Hypothèses'!$A$5:$B$24,2,FALSE),0))</f>
        <v/>
      </c>
      <c r="G9" s="50">
        <f>IF(A9="","",IFERROR(E9*VLOOKUP("Taux de CA coaching / stages",'Hypothèses'!$A$5:$B$24,2,FALSE),0))</f>
        <v/>
      </c>
      <c r="H9" s="50">
        <f>IF(A9="","",IFERROR(D9*VLOOKUP("Panier moyen bar / boutique",'Hypothèses'!$A$5:$B$24,2,FALSE),0))</f>
        <v/>
      </c>
      <c r="I9" s="50">
        <f>IF(A9="","",SUM(E9:H9))</f>
        <v/>
      </c>
      <c r="J9" s="50">
        <f>IF(A9="","",IFERROR(I9*VLOOKUP("Taux de TVA principal",'Hypothèses'!$A$5:$B$24,2,FALSE),0))</f>
        <v/>
      </c>
      <c r="K9" s="50">
        <f>IF(A9="","",IFERROR(I9*VLOOKUP("Taux de charges variables",'Hypothèses'!$A$5:$B$24,2,FALSE),0))</f>
        <v/>
      </c>
      <c r="L9" s="50">
        <f>IF(A9="","",IFERROR(VLOOKUP("Masse salariale annuelle",'Hypothèses'!$A$5:$B$24,2,FALSE)/12,0))</f>
        <v/>
      </c>
      <c r="M9" s="50">
        <f>IF(A9="","",IFERROR(VLOOKUP("Loyer annuel",'Hypothèses'!$A$5:$B$24,2,FALSE)/12,0))</f>
        <v/>
      </c>
      <c r="N9" s="50">
        <f>IF(A9="","",IFERROR(VLOOKUP("Budget marketing annuel",'Hypothèses'!$A$5:$B$24,2,FALSE)/12,0))</f>
        <v/>
      </c>
      <c r="O9" s="50">
        <f>IF(A9="","",IFERROR(VLOOKUP("Autres charges mensuelles",'Hypothèses'!$A$5:$B$24,2,FALSE),0))</f>
        <v/>
      </c>
      <c r="P9" s="50">
        <f>IF(A9="","",IFERROR(I9-SUM(K9:O9),0))</f>
        <v/>
      </c>
      <c r="Q9" s="50">
        <f>IF(A9="","",IFERROR('Investissements'!$K$105/12,0))</f>
        <v/>
      </c>
      <c r="R9" s="50">
        <f>IF(A9="","",IFERROR(P9-Q9,0))</f>
        <v/>
      </c>
      <c r="S9" s="50">
        <f>IF(A9="","",'Hypothèses'!$B$21+SUM($P$5:P9)-SUMIFS('Investissements'!$I$5:$I$104,'Investissements'!$D$5:$D$104,"&lt;="&amp;(A9+32-DAY(A9+32))))</f>
        <v/>
      </c>
      <c r="T9" s="57">
        <f>IF(A9="","",IFERROR(P9/I9,0))</f>
        <v/>
      </c>
      <c r="U9" s="57">
        <f>IF(A9="","",IFERROR(VLOOKUP("Taux d'occupation cible année 1",'Hypothèses'!$A$5:$B$24,2,FALSE),0))</f>
        <v/>
      </c>
    </row>
    <row r="10">
      <c r="A10" s="47" t="n">
        <v>46235</v>
      </c>
      <c r="B10" s="55" t="n">
        <v>0.42</v>
      </c>
      <c r="C10" s="58">
        <f>IF(A10="","",IFERROR((VLOOKUP("Nombre de terrains indoor",'Hypothèses'!$A$5:$B$24,2,FALSE)+VLOOKUP("Nombre de terrains outdoor",'Hypothèses'!$A$5:$B$24,2,FALSE))*VLOOKUP("Heures d'ouverture par terrain / mois",'Hypothèses'!$A$5:$B$24,2,FALSE),0))</f>
        <v/>
      </c>
      <c r="D10" s="58">
        <f>IF(A10="","",IFERROR(C10*B10,0))</f>
        <v/>
      </c>
      <c r="E10" s="52">
        <f>IF(A10="","",IFERROR(D10*VLOOKUP("Prix moyen réservation terrain",'Hypothèses'!$A$5:$B$24,2,FALSE),0))</f>
        <v/>
      </c>
      <c r="F10" s="52">
        <f>IF(A10="","",IFERROR(VLOOKUP("Nombre d'abonnés année 1",'Hypothèses'!$A$5:$B$24,2,FALSE)*VLOOKUP("Abonnement mensuel moyen",'Hypothèses'!$A$5:$B$24,2,FALSE),0))</f>
        <v/>
      </c>
      <c r="G10" s="52">
        <f>IF(A10="","",IFERROR(E10*VLOOKUP("Taux de CA coaching / stages",'Hypothèses'!$A$5:$B$24,2,FALSE),0))</f>
        <v/>
      </c>
      <c r="H10" s="52">
        <f>IF(A10="","",IFERROR(D10*VLOOKUP("Panier moyen bar / boutique",'Hypothèses'!$A$5:$B$24,2,FALSE),0))</f>
        <v/>
      </c>
      <c r="I10" s="52">
        <f>IF(A10="","",SUM(E10:H10))</f>
        <v/>
      </c>
      <c r="J10" s="52">
        <f>IF(A10="","",IFERROR(I10*VLOOKUP("Taux de TVA principal",'Hypothèses'!$A$5:$B$24,2,FALSE),0))</f>
        <v/>
      </c>
      <c r="K10" s="52">
        <f>IF(A10="","",IFERROR(I10*VLOOKUP("Taux de charges variables",'Hypothèses'!$A$5:$B$24,2,FALSE),0))</f>
        <v/>
      </c>
      <c r="L10" s="52">
        <f>IF(A10="","",IFERROR(VLOOKUP("Masse salariale annuelle",'Hypothèses'!$A$5:$B$24,2,FALSE)/12,0))</f>
        <v/>
      </c>
      <c r="M10" s="52">
        <f>IF(A10="","",IFERROR(VLOOKUP("Loyer annuel",'Hypothèses'!$A$5:$B$24,2,FALSE)/12,0))</f>
        <v/>
      </c>
      <c r="N10" s="52">
        <f>IF(A10="","",IFERROR(VLOOKUP("Budget marketing annuel",'Hypothèses'!$A$5:$B$24,2,FALSE)/12,0))</f>
        <v/>
      </c>
      <c r="O10" s="52">
        <f>IF(A10="","",IFERROR(VLOOKUP("Autres charges mensuelles",'Hypothèses'!$A$5:$B$24,2,FALSE),0))</f>
        <v/>
      </c>
      <c r="P10" s="52">
        <f>IF(A10="","",IFERROR(I10-SUM(K10:O10),0))</f>
        <v/>
      </c>
      <c r="Q10" s="52">
        <f>IF(A10="","",IFERROR('Investissements'!$K$105/12,0))</f>
        <v/>
      </c>
      <c r="R10" s="52">
        <f>IF(A10="","",IFERROR(P10-Q10,0))</f>
        <v/>
      </c>
      <c r="S10" s="52">
        <f>IF(A10="","",'Hypothèses'!$B$21+SUM($P$5:P10)-SUMIFS('Investissements'!$I$5:$I$104,'Investissements'!$D$5:$D$104,"&lt;="&amp;(A10+32-DAY(A10+32))))</f>
        <v/>
      </c>
      <c r="T10" s="59">
        <f>IF(A10="","",IFERROR(P10/I10,0))</f>
        <v/>
      </c>
      <c r="U10" s="59">
        <f>IF(A10="","",IFERROR(VLOOKUP("Taux d'occupation cible année 1",'Hypothèses'!$A$5:$B$24,2,FALSE),0))</f>
        <v/>
      </c>
    </row>
    <row r="11">
      <c r="A11" s="47" t="n">
        <v>46266</v>
      </c>
      <c r="B11" s="55" t="n">
        <v>0.44</v>
      </c>
      <c r="C11" s="56">
        <f>IF(A11="","",IFERROR((VLOOKUP("Nombre de terrains indoor",'Hypothèses'!$A$5:$B$24,2,FALSE)+VLOOKUP("Nombre de terrains outdoor",'Hypothèses'!$A$5:$B$24,2,FALSE))*VLOOKUP("Heures d'ouverture par terrain / mois",'Hypothèses'!$A$5:$B$24,2,FALSE),0))</f>
        <v/>
      </c>
      <c r="D11" s="56">
        <f>IF(A11="","",IFERROR(C11*B11,0))</f>
        <v/>
      </c>
      <c r="E11" s="50">
        <f>IF(A11="","",IFERROR(D11*VLOOKUP("Prix moyen réservation terrain",'Hypothèses'!$A$5:$B$24,2,FALSE),0))</f>
        <v/>
      </c>
      <c r="F11" s="50">
        <f>IF(A11="","",IFERROR(VLOOKUP("Nombre d'abonnés année 1",'Hypothèses'!$A$5:$B$24,2,FALSE)*VLOOKUP("Abonnement mensuel moyen",'Hypothèses'!$A$5:$B$24,2,FALSE),0))</f>
        <v/>
      </c>
      <c r="G11" s="50">
        <f>IF(A11="","",IFERROR(E11*VLOOKUP("Taux de CA coaching / stages",'Hypothèses'!$A$5:$B$24,2,FALSE),0))</f>
        <v/>
      </c>
      <c r="H11" s="50">
        <f>IF(A11="","",IFERROR(D11*VLOOKUP("Panier moyen bar / boutique",'Hypothèses'!$A$5:$B$24,2,FALSE),0))</f>
        <v/>
      </c>
      <c r="I11" s="50">
        <f>IF(A11="","",SUM(E11:H11))</f>
        <v/>
      </c>
      <c r="J11" s="50">
        <f>IF(A11="","",IFERROR(I11*VLOOKUP("Taux de TVA principal",'Hypothèses'!$A$5:$B$24,2,FALSE),0))</f>
        <v/>
      </c>
      <c r="K11" s="50">
        <f>IF(A11="","",IFERROR(I11*VLOOKUP("Taux de charges variables",'Hypothèses'!$A$5:$B$24,2,FALSE),0))</f>
        <v/>
      </c>
      <c r="L11" s="50">
        <f>IF(A11="","",IFERROR(VLOOKUP("Masse salariale annuelle",'Hypothèses'!$A$5:$B$24,2,FALSE)/12,0))</f>
        <v/>
      </c>
      <c r="M11" s="50">
        <f>IF(A11="","",IFERROR(VLOOKUP("Loyer annuel",'Hypothèses'!$A$5:$B$24,2,FALSE)/12,0))</f>
        <v/>
      </c>
      <c r="N11" s="50">
        <f>IF(A11="","",IFERROR(VLOOKUP("Budget marketing annuel",'Hypothèses'!$A$5:$B$24,2,FALSE)/12,0))</f>
        <v/>
      </c>
      <c r="O11" s="50">
        <f>IF(A11="","",IFERROR(VLOOKUP("Autres charges mensuelles",'Hypothèses'!$A$5:$B$24,2,FALSE),0))</f>
        <v/>
      </c>
      <c r="P11" s="50">
        <f>IF(A11="","",IFERROR(I11-SUM(K11:O11),0))</f>
        <v/>
      </c>
      <c r="Q11" s="50">
        <f>IF(A11="","",IFERROR('Investissements'!$K$105/12,0))</f>
        <v/>
      </c>
      <c r="R11" s="50">
        <f>IF(A11="","",IFERROR(P11-Q11,0))</f>
        <v/>
      </c>
      <c r="S11" s="50">
        <f>IF(A11="","",'Hypothèses'!$B$21+SUM($P$5:P11)-SUMIFS('Investissements'!$I$5:$I$104,'Investissements'!$D$5:$D$104,"&lt;="&amp;(A11+32-DAY(A11+32))))</f>
        <v/>
      </c>
      <c r="T11" s="57">
        <f>IF(A11="","",IFERROR(P11/I11,0))</f>
        <v/>
      </c>
      <c r="U11" s="57">
        <f>IF(A11="","",IFERROR(VLOOKUP("Taux d'occupation cible année 1",'Hypothèses'!$A$5:$B$24,2,FALSE),0))</f>
        <v/>
      </c>
    </row>
    <row r="12">
      <c r="A12" s="47" t="n">
        <v>46296</v>
      </c>
      <c r="B12" s="55" t="n">
        <v>0.46</v>
      </c>
      <c r="C12" s="58">
        <f>IF(A12="","",IFERROR((VLOOKUP("Nombre de terrains indoor",'Hypothèses'!$A$5:$B$24,2,FALSE)+VLOOKUP("Nombre de terrains outdoor",'Hypothèses'!$A$5:$B$24,2,FALSE))*VLOOKUP("Heures d'ouverture par terrain / mois",'Hypothèses'!$A$5:$B$24,2,FALSE),0))</f>
        <v/>
      </c>
      <c r="D12" s="58">
        <f>IF(A12="","",IFERROR(C12*B12,0))</f>
        <v/>
      </c>
      <c r="E12" s="52">
        <f>IF(A12="","",IFERROR(D12*VLOOKUP("Prix moyen réservation terrain",'Hypothèses'!$A$5:$B$24,2,FALSE),0))</f>
        <v/>
      </c>
      <c r="F12" s="52">
        <f>IF(A12="","",IFERROR(VLOOKUP("Nombre d'abonnés année 1",'Hypothèses'!$A$5:$B$24,2,FALSE)*VLOOKUP("Abonnement mensuel moyen",'Hypothèses'!$A$5:$B$24,2,FALSE),0))</f>
        <v/>
      </c>
      <c r="G12" s="52">
        <f>IF(A12="","",IFERROR(E12*VLOOKUP("Taux de CA coaching / stages",'Hypothèses'!$A$5:$B$24,2,FALSE),0))</f>
        <v/>
      </c>
      <c r="H12" s="52">
        <f>IF(A12="","",IFERROR(D12*VLOOKUP("Panier moyen bar / boutique",'Hypothèses'!$A$5:$B$24,2,FALSE),0))</f>
        <v/>
      </c>
      <c r="I12" s="52">
        <f>IF(A12="","",SUM(E12:H12))</f>
        <v/>
      </c>
      <c r="J12" s="52">
        <f>IF(A12="","",IFERROR(I12*VLOOKUP("Taux de TVA principal",'Hypothèses'!$A$5:$B$24,2,FALSE),0))</f>
        <v/>
      </c>
      <c r="K12" s="52">
        <f>IF(A12="","",IFERROR(I12*VLOOKUP("Taux de charges variables",'Hypothèses'!$A$5:$B$24,2,FALSE),0))</f>
        <v/>
      </c>
      <c r="L12" s="52">
        <f>IF(A12="","",IFERROR(VLOOKUP("Masse salariale annuelle",'Hypothèses'!$A$5:$B$24,2,FALSE)/12,0))</f>
        <v/>
      </c>
      <c r="M12" s="52">
        <f>IF(A12="","",IFERROR(VLOOKUP("Loyer annuel",'Hypothèses'!$A$5:$B$24,2,FALSE)/12,0))</f>
        <v/>
      </c>
      <c r="N12" s="52">
        <f>IF(A12="","",IFERROR(VLOOKUP("Budget marketing annuel",'Hypothèses'!$A$5:$B$24,2,FALSE)/12,0))</f>
        <v/>
      </c>
      <c r="O12" s="52">
        <f>IF(A12="","",IFERROR(VLOOKUP("Autres charges mensuelles",'Hypothèses'!$A$5:$B$24,2,FALSE),0))</f>
        <v/>
      </c>
      <c r="P12" s="52">
        <f>IF(A12="","",IFERROR(I12-SUM(K12:O12),0))</f>
        <v/>
      </c>
      <c r="Q12" s="52">
        <f>IF(A12="","",IFERROR('Investissements'!$K$105/12,0))</f>
        <v/>
      </c>
      <c r="R12" s="52">
        <f>IF(A12="","",IFERROR(P12-Q12,0))</f>
        <v/>
      </c>
      <c r="S12" s="52">
        <f>IF(A12="","",'Hypothèses'!$B$21+SUM($P$5:P12)-SUMIFS('Investissements'!$I$5:$I$104,'Investissements'!$D$5:$D$104,"&lt;="&amp;(A12+32-DAY(A12+32))))</f>
        <v/>
      </c>
      <c r="T12" s="59">
        <f>IF(A12="","",IFERROR(P12/I12,0))</f>
        <v/>
      </c>
      <c r="U12" s="59">
        <f>IF(A12="","",IFERROR(VLOOKUP("Taux d'occupation cible année 1",'Hypothèses'!$A$5:$B$24,2,FALSE),0))</f>
        <v/>
      </c>
    </row>
    <row r="13">
      <c r="A13" s="47" t="n">
        <v>46327</v>
      </c>
      <c r="B13" s="55" t="n">
        <v>0.48</v>
      </c>
      <c r="C13" s="56">
        <f>IF(A13="","",IFERROR((VLOOKUP("Nombre de terrains indoor",'Hypothèses'!$A$5:$B$24,2,FALSE)+VLOOKUP("Nombre de terrains outdoor",'Hypothèses'!$A$5:$B$24,2,FALSE))*VLOOKUP("Heures d'ouverture par terrain / mois",'Hypothèses'!$A$5:$B$24,2,FALSE),0))</f>
        <v/>
      </c>
      <c r="D13" s="56">
        <f>IF(A13="","",IFERROR(C13*B13,0))</f>
        <v/>
      </c>
      <c r="E13" s="50">
        <f>IF(A13="","",IFERROR(D13*VLOOKUP("Prix moyen réservation terrain",'Hypothèses'!$A$5:$B$24,2,FALSE),0))</f>
        <v/>
      </c>
      <c r="F13" s="50">
        <f>IF(A13="","",IFERROR(VLOOKUP("Nombre d'abonnés année 1",'Hypothèses'!$A$5:$B$24,2,FALSE)*VLOOKUP("Abonnement mensuel moyen",'Hypothèses'!$A$5:$B$24,2,FALSE),0))</f>
        <v/>
      </c>
      <c r="G13" s="50">
        <f>IF(A13="","",IFERROR(E13*VLOOKUP("Taux de CA coaching / stages",'Hypothèses'!$A$5:$B$24,2,FALSE),0))</f>
        <v/>
      </c>
      <c r="H13" s="50">
        <f>IF(A13="","",IFERROR(D13*VLOOKUP("Panier moyen bar / boutique",'Hypothèses'!$A$5:$B$24,2,FALSE),0))</f>
        <v/>
      </c>
      <c r="I13" s="50">
        <f>IF(A13="","",SUM(E13:H13))</f>
        <v/>
      </c>
      <c r="J13" s="50">
        <f>IF(A13="","",IFERROR(I13*VLOOKUP("Taux de TVA principal",'Hypothèses'!$A$5:$B$24,2,FALSE),0))</f>
        <v/>
      </c>
      <c r="K13" s="50">
        <f>IF(A13="","",IFERROR(I13*VLOOKUP("Taux de charges variables",'Hypothèses'!$A$5:$B$24,2,FALSE),0))</f>
        <v/>
      </c>
      <c r="L13" s="50">
        <f>IF(A13="","",IFERROR(VLOOKUP("Masse salariale annuelle",'Hypothèses'!$A$5:$B$24,2,FALSE)/12,0))</f>
        <v/>
      </c>
      <c r="M13" s="50">
        <f>IF(A13="","",IFERROR(VLOOKUP("Loyer annuel",'Hypothèses'!$A$5:$B$24,2,FALSE)/12,0))</f>
        <v/>
      </c>
      <c r="N13" s="50">
        <f>IF(A13="","",IFERROR(VLOOKUP("Budget marketing annuel",'Hypothèses'!$A$5:$B$24,2,FALSE)/12,0))</f>
        <v/>
      </c>
      <c r="O13" s="50">
        <f>IF(A13="","",IFERROR(VLOOKUP("Autres charges mensuelles",'Hypothèses'!$A$5:$B$24,2,FALSE),0))</f>
        <v/>
      </c>
      <c r="P13" s="50">
        <f>IF(A13="","",IFERROR(I13-SUM(K13:O13),0))</f>
        <v/>
      </c>
      <c r="Q13" s="50">
        <f>IF(A13="","",IFERROR('Investissements'!$K$105/12,0))</f>
        <v/>
      </c>
      <c r="R13" s="50">
        <f>IF(A13="","",IFERROR(P13-Q13,0))</f>
        <v/>
      </c>
      <c r="S13" s="50">
        <f>IF(A13="","",'Hypothèses'!$B$21+SUM($P$5:P13)-SUMIFS('Investissements'!$I$5:$I$104,'Investissements'!$D$5:$D$104,"&lt;="&amp;(A13+32-DAY(A13+32))))</f>
        <v/>
      </c>
      <c r="T13" s="57">
        <f>IF(A13="","",IFERROR(P13/I13,0))</f>
        <v/>
      </c>
      <c r="U13" s="57">
        <f>IF(A13="","",IFERROR(VLOOKUP("Taux d'occupation cible année 1",'Hypothèses'!$A$5:$B$24,2,FALSE),0))</f>
        <v/>
      </c>
    </row>
    <row r="14">
      <c r="A14" s="47" t="n">
        <v>46357</v>
      </c>
      <c r="B14" s="55" t="n">
        <v>0.5</v>
      </c>
      <c r="C14" s="58">
        <f>IF(A14="","",IFERROR((VLOOKUP("Nombre de terrains indoor",'Hypothèses'!$A$5:$B$24,2,FALSE)+VLOOKUP("Nombre de terrains outdoor",'Hypothèses'!$A$5:$B$24,2,FALSE))*VLOOKUP("Heures d'ouverture par terrain / mois",'Hypothèses'!$A$5:$B$24,2,FALSE),0))</f>
        <v/>
      </c>
      <c r="D14" s="58">
        <f>IF(A14="","",IFERROR(C14*B14,0))</f>
        <v/>
      </c>
      <c r="E14" s="52">
        <f>IF(A14="","",IFERROR(D14*VLOOKUP("Prix moyen réservation terrain",'Hypothèses'!$A$5:$B$24,2,FALSE),0))</f>
        <v/>
      </c>
      <c r="F14" s="52">
        <f>IF(A14="","",IFERROR(VLOOKUP("Nombre d'abonnés année 1",'Hypothèses'!$A$5:$B$24,2,FALSE)*VLOOKUP("Abonnement mensuel moyen",'Hypothèses'!$A$5:$B$24,2,FALSE),0))</f>
        <v/>
      </c>
      <c r="G14" s="52">
        <f>IF(A14="","",IFERROR(E14*VLOOKUP("Taux de CA coaching / stages",'Hypothèses'!$A$5:$B$24,2,FALSE),0))</f>
        <v/>
      </c>
      <c r="H14" s="52">
        <f>IF(A14="","",IFERROR(D14*VLOOKUP("Panier moyen bar / boutique",'Hypothèses'!$A$5:$B$24,2,FALSE),0))</f>
        <v/>
      </c>
      <c r="I14" s="52">
        <f>IF(A14="","",SUM(E14:H14))</f>
        <v/>
      </c>
      <c r="J14" s="52">
        <f>IF(A14="","",IFERROR(I14*VLOOKUP("Taux de TVA principal",'Hypothèses'!$A$5:$B$24,2,FALSE),0))</f>
        <v/>
      </c>
      <c r="K14" s="52">
        <f>IF(A14="","",IFERROR(I14*VLOOKUP("Taux de charges variables",'Hypothèses'!$A$5:$B$24,2,FALSE),0))</f>
        <v/>
      </c>
      <c r="L14" s="52">
        <f>IF(A14="","",IFERROR(VLOOKUP("Masse salariale annuelle",'Hypothèses'!$A$5:$B$24,2,FALSE)/12,0))</f>
        <v/>
      </c>
      <c r="M14" s="52">
        <f>IF(A14="","",IFERROR(VLOOKUP("Loyer annuel",'Hypothèses'!$A$5:$B$24,2,FALSE)/12,0))</f>
        <v/>
      </c>
      <c r="N14" s="52">
        <f>IF(A14="","",IFERROR(VLOOKUP("Budget marketing annuel",'Hypothèses'!$A$5:$B$24,2,FALSE)/12,0))</f>
        <v/>
      </c>
      <c r="O14" s="52">
        <f>IF(A14="","",IFERROR(VLOOKUP("Autres charges mensuelles",'Hypothèses'!$A$5:$B$24,2,FALSE),0))</f>
        <v/>
      </c>
      <c r="P14" s="52">
        <f>IF(A14="","",IFERROR(I14-SUM(K14:O14),0))</f>
        <v/>
      </c>
      <c r="Q14" s="52">
        <f>IF(A14="","",IFERROR('Investissements'!$K$105/12,0))</f>
        <v/>
      </c>
      <c r="R14" s="52">
        <f>IF(A14="","",IFERROR(P14-Q14,0))</f>
        <v/>
      </c>
      <c r="S14" s="52">
        <f>IF(A14="","",'Hypothèses'!$B$21+SUM($P$5:P14)-SUMIFS('Investissements'!$I$5:$I$104,'Investissements'!$D$5:$D$104,"&lt;="&amp;(A14+32-DAY(A14+32))))</f>
        <v/>
      </c>
      <c r="T14" s="59">
        <f>IF(A14="","",IFERROR(P14/I14,0))</f>
        <v/>
      </c>
      <c r="U14" s="59">
        <f>IF(A14="","",IFERROR(VLOOKUP("Taux d'occupation cible année 1",'Hypothèses'!$A$5:$B$24,2,FALSE),0))</f>
        <v/>
      </c>
    </row>
    <row r="15">
      <c r="A15" s="47" t="n"/>
      <c r="B15" s="55" t="n"/>
      <c r="C15" s="56">
        <f>IF(A15="","",IFERROR((VLOOKUP("Nombre de terrains indoor",'Hypothèses'!$A$5:$B$24,2,FALSE)+VLOOKUP("Nombre de terrains outdoor",'Hypothèses'!$A$5:$B$24,2,FALSE))*VLOOKUP("Heures d'ouverture par terrain / mois",'Hypothèses'!$A$5:$B$24,2,FALSE),0))</f>
        <v/>
      </c>
      <c r="D15" s="56">
        <f>IF(A15="","",IFERROR(C15*B15,0))</f>
        <v/>
      </c>
      <c r="E15" s="50">
        <f>IF(A15="","",IFERROR(D15*VLOOKUP("Prix moyen réservation terrain",'Hypothèses'!$A$5:$B$24,2,FALSE),0))</f>
        <v/>
      </c>
      <c r="F15" s="50">
        <f>IF(A15="","",IFERROR(VLOOKUP("Nombre d'abonnés année 1",'Hypothèses'!$A$5:$B$24,2,FALSE)*VLOOKUP("Abonnement mensuel moyen",'Hypothèses'!$A$5:$B$24,2,FALSE),0))</f>
        <v/>
      </c>
      <c r="G15" s="50">
        <f>IF(A15="","",IFERROR(E15*VLOOKUP("Taux de CA coaching / stages",'Hypothèses'!$A$5:$B$24,2,FALSE),0))</f>
        <v/>
      </c>
      <c r="H15" s="50">
        <f>IF(A15="","",IFERROR(D15*VLOOKUP("Panier moyen bar / boutique",'Hypothèses'!$A$5:$B$24,2,FALSE),0))</f>
        <v/>
      </c>
      <c r="I15" s="50">
        <f>IF(A15="","",SUM(E15:H15))</f>
        <v/>
      </c>
      <c r="J15" s="50">
        <f>IF(A15="","",IFERROR(I15*VLOOKUP("Taux de TVA principal",'Hypothèses'!$A$5:$B$24,2,FALSE),0))</f>
        <v/>
      </c>
      <c r="K15" s="50">
        <f>IF(A15="","",IFERROR(I15*VLOOKUP("Taux de charges variables",'Hypothèses'!$A$5:$B$24,2,FALSE),0))</f>
        <v/>
      </c>
      <c r="L15" s="50">
        <f>IF(A15="","",IFERROR(VLOOKUP("Masse salariale annuelle",'Hypothèses'!$A$5:$B$24,2,FALSE)/12,0))</f>
        <v/>
      </c>
      <c r="M15" s="50">
        <f>IF(A15="","",IFERROR(VLOOKUP("Loyer annuel",'Hypothèses'!$A$5:$B$24,2,FALSE)/12,0))</f>
        <v/>
      </c>
      <c r="N15" s="50">
        <f>IF(A15="","",IFERROR(VLOOKUP("Budget marketing annuel",'Hypothèses'!$A$5:$B$24,2,FALSE)/12,0))</f>
        <v/>
      </c>
      <c r="O15" s="50">
        <f>IF(A15="","",IFERROR(VLOOKUP("Autres charges mensuelles",'Hypothèses'!$A$5:$B$24,2,FALSE),0))</f>
        <v/>
      </c>
      <c r="P15" s="50">
        <f>IF(A15="","",IFERROR(I15-SUM(K15:O15),0))</f>
        <v/>
      </c>
      <c r="Q15" s="50">
        <f>IF(A15="","",IFERROR('Investissements'!$K$105/12,0))</f>
        <v/>
      </c>
      <c r="R15" s="50">
        <f>IF(A15="","",IFERROR(P15-Q15,0))</f>
        <v/>
      </c>
      <c r="S15" s="50">
        <f>IF(A15="","",'Hypothèses'!$B$21+SUM($P$5:P15)-SUMIFS('Investissements'!$I$5:$I$104,'Investissements'!$D$5:$D$104,"&lt;="&amp;(A15+32-DAY(A15+32))))</f>
        <v/>
      </c>
      <c r="T15" s="57">
        <f>IF(A15="","",IFERROR(P15/I15,0))</f>
        <v/>
      </c>
      <c r="U15" s="57">
        <f>IF(A15="","",IFERROR(VLOOKUP("Taux d'occupation cible année 1",'Hypothèses'!$A$5:$B$24,2,FALSE),0))</f>
        <v/>
      </c>
    </row>
    <row r="16">
      <c r="A16" s="47" t="n"/>
      <c r="B16" s="55" t="n"/>
      <c r="C16" s="58">
        <f>IF(A16="","",IFERROR((VLOOKUP("Nombre de terrains indoor",'Hypothèses'!$A$5:$B$24,2,FALSE)+VLOOKUP("Nombre de terrains outdoor",'Hypothèses'!$A$5:$B$24,2,FALSE))*VLOOKUP("Heures d'ouverture par terrain / mois",'Hypothèses'!$A$5:$B$24,2,FALSE),0))</f>
        <v/>
      </c>
      <c r="D16" s="58">
        <f>IF(A16="","",IFERROR(C16*B16,0))</f>
        <v/>
      </c>
      <c r="E16" s="52">
        <f>IF(A16="","",IFERROR(D16*VLOOKUP("Prix moyen réservation terrain",'Hypothèses'!$A$5:$B$24,2,FALSE),0))</f>
        <v/>
      </c>
      <c r="F16" s="52">
        <f>IF(A16="","",IFERROR(VLOOKUP("Nombre d'abonnés année 1",'Hypothèses'!$A$5:$B$24,2,FALSE)*VLOOKUP("Abonnement mensuel moyen",'Hypothèses'!$A$5:$B$24,2,FALSE),0))</f>
        <v/>
      </c>
      <c r="G16" s="52">
        <f>IF(A16="","",IFERROR(E16*VLOOKUP("Taux de CA coaching / stages",'Hypothèses'!$A$5:$B$24,2,FALSE),0))</f>
        <v/>
      </c>
      <c r="H16" s="52">
        <f>IF(A16="","",IFERROR(D16*VLOOKUP("Panier moyen bar / boutique",'Hypothèses'!$A$5:$B$24,2,FALSE),0))</f>
        <v/>
      </c>
      <c r="I16" s="52">
        <f>IF(A16="","",SUM(E16:H16))</f>
        <v/>
      </c>
      <c r="J16" s="52">
        <f>IF(A16="","",IFERROR(I16*VLOOKUP("Taux de TVA principal",'Hypothèses'!$A$5:$B$24,2,FALSE),0))</f>
        <v/>
      </c>
      <c r="K16" s="52">
        <f>IF(A16="","",IFERROR(I16*VLOOKUP("Taux de charges variables",'Hypothèses'!$A$5:$B$24,2,FALSE),0))</f>
        <v/>
      </c>
      <c r="L16" s="52">
        <f>IF(A16="","",IFERROR(VLOOKUP("Masse salariale annuelle",'Hypothèses'!$A$5:$B$24,2,FALSE)/12,0))</f>
        <v/>
      </c>
      <c r="M16" s="52">
        <f>IF(A16="","",IFERROR(VLOOKUP("Loyer annuel",'Hypothèses'!$A$5:$B$24,2,FALSE)/12,0))</f>
        <v/>
      </c>
      <c r="N16" s="52">
        <f>IF(A16="","",IFERROR(VLOOKUP("Budget marketing annuel",'Hypothèses'!$A$5:$B$24,2,FALSE)/12,0))</f>
        <v/>
      </c>
      <c r="O16" s="52">
        <f>IF(A16="","",IFERROR(VLOOKUP("Autres charges mensuelles",'Hypothèses'!$A$5:$B$24,2,FALSE),0))</f>
        <v/>
      </c>
      <c r="P16" s="52">
        <f>IF(A16="","",IFERROR(I16-SUM(K16:O16),0))</f>
        <v/>
      </c>
      <c r="Q16" s="52">
        <f>IF(A16="","",IFERROR('Investissements'!$K$105/12,0))</f>
        <v/>
      </c>
      <c r="R16" s="52">
        <f>IF(A16="","",IFERROR(P16-Q16,0))</f>
        <v/>
      </c>
      <c r="S16" s="52">
        <f>IF(A16="","",'Hypothèses'!$B$21+SUM($P$5:P16)-SUMIFS('Investissements'!$I$5:$I$104,'Investissements'!$D$5:$D$104,"&lt;="&amp;(A16+32-DAY(A16+32))))</f>
        <v/>
      </c>
      <c r="T16" s="59">
        <f>IF(A16="","",IFERROR(P16/I16,0))</f>
        <v/>
      </c>
      <c r="U16" s="59">
        <f>IF(A16="","",IFERROR(VLOOKUP("Taux d'occupation cible année 1",'Hypothèses'!$A$5:$B$24,2,FALSE),0))</f>
        <v/>
      </c>
    </row>
    <row r="17">
      <c r="A17" s="47" t="n"/>
      <c r="B17" s="55" t="n"/>
      <c r="C17" s="56">
        <f>IF(A17="","",IFERROR((VLOOKUP("Nombre de terrains indoor",'Hypothèses'!$A$5:$B$24,2,FALSE)+VLOOKUP("Nombre de terrains outdoor",'Hypothèses'!$A$5:$B$24,2,FALSE))*VLOOKUP("Heures d'ouverture par terrain / mois",'Hypothèses'!$A$5:$B$24,2,FALSE),0))</f>
        <v/>
      </c>
      <c r="D17" s="56">
        <f>IF(A17="","",IFERROR(C17*B17,0))</f>
        <v/>
      </c>
      <c r="E17" s="50">
        <f>IF(A17="","",IFERROR(D17*VLOOKUP("Prix moyen réservation terrain",'Hypothèses'!$A$5:$B$24,2,FALSE),0))</f>
        <v/>
      </c>
      <c r="F17" s="50">
        <f>IF(A17="","",IFERROR(VLOOKUP("Nombre d'abonnés année 1",'Hypothèses'!$A$5:$B$24,2,FALSE)*VLOOKUP("Abonnement mensuel moyen",'Hypothèses'!$A$5:$B$24,2,FALSE),0))</f>
        <v/>
      </c>
      <c r="G17" s="50">
        <f>IF(A17="","",IFERROR(E17*VLOOKUP("Taux de CA coaching / stages",'Hypothèses'!$A$5:$B$24,2,FALSE),0))</f>
        <v/>
      </c>
      <c r="H17" s="50">
        <f>IF(A17="","",IFERROR(D17*VLOOKUP("Panier moyen bar / boutique",'Hypothèses'!$A$5:$B$24,2,FALSE),0))</f>
        <v/>
      </c>
      <c r="I17" s="50">
        <f>IF(A17="","",SUM(E17:H17))</f>
        <v/>
      </c>
      <c r="J17" s="50">
        <f>IF(A17="","",IFERROR(I17*VLOOKUP("Taux de TVA principal",'Hypothèses'!$A$5:$B$24,2,FALSE),0))</f>
        <v/>
      </c>
      <c r="K17" s="50">
        <f>IF(A17="","",IFERROR(I17*VLOOKUP("Taux de charges variables",'Hypothèses'!$A$5:$B$24,2,FALSE),0))</f>
        <v/>
      </c>
      <c r="L17" s="50">
        <f>IF(A17="","",IFERROR(VLOOKUP("Masse salariale annuelle",'Hypothèses'!$A$5:$B$24,2,FALSE)/12,0))</f>
        <v/>
      </c>
      <c r="M17" s="50">
        <f>IF(A17="","",IFERROR(VLOOKUP("Loyer annuel",'Hypothèses'!$A$5:$B$24,2,FALSE)/12,0))</f>
        <v/>
      </c>
      <c r="N17" s="50">
        <f>IF(A17="","",IFERROR(VLOOKUP("Budget marketing annuel",'Hypothèses'!$A$5:$B$24,2,FALSE)/12,0))</f>
        <v/>
      </c>
      <c r="O17" s="50">
        <f>IF(A17="","",IFERROR(VLOOKUP("Autres charges mensuelles",'Hypothèses'!$A$5:$B$24,2,FALSE),0))</f>
        <v/>
      </c>
      <c r="P17" s="50">
        <f>IF(A17="","",IFERROR(I17-SUM(K17:O17),0))</f>
        <v/>
      </c>
      <c r="Q17" s="50">
        <f>IF(A17="","",IFERROR('Investissements'!$K$105/12,0))</f>
        <v/>
      </c>
      <c r="R17" s="50">
        <f>IF(A17="","",IFERROR(P17-Q17,0))</f>
        <v/>
      </c>
      <c r="S17" s="50">
        <f>IF(A17="","",'Hypothèses'!$B$21+SUM($P$5:P17)-SUMIFS('Investissements'!$I$5:$I$104,'Investissements'!$D$5:$D$104,"&lt;="&amp;(A17+32-DAY(A17+32))))</f>
        <v/>
      </c>
      <c r="T17" s="57">
        <f>IF(A17="","",IFERROR(P17/I17,0))</f>
        <v/>
      </c>
      <c r="U17" s="57">
        <f>IF(A17="","",IFERROR(VLOOKUP("Taux d'occupation cible année 1",'Hypothèses'!$A$5:$B$24,2,FALSE),0))</f>
        <v/>
      </c>
    </row>
    <row r="18">
      <c r="A18" s="47" t="n"/>
      <c r="B18" s="55" t="n"/>
      <c r="C18" s="58">
        <f>IF(A18="","",IFERROR((VLOOKUP("Nombre de terrains indoor",'Hypothèses'!$A$5:$B$24,2,FALSE)+VLOOKUP("Nombre de terrains outdoor",'Hypothèses'!$A$5:$B$24,2,FALSE))*VLOOKUP("Heures d'ouverture par terrain / mois",'Hypothèses'!$A$5:$B$24,2,FALSE),0))</f>
        <v/>
      </c>
      <c r="D18" s="58">
        <f>IF(A18="","",IFERROR(C18*B18,0))</f>
        <v/>
      </c>
      <c r="E18" s="52">
        <f>IF(A18="","",IFERROR(D18*VLOOKUP("Prix moyen réservation terrain",'Hypothèses'!$A$5:$B$24,2,FALSE),0))</f>
        <v/>
      </c>
      <c r="F18" s="52">
        <f>IF(A18="","",IFERROR(VLOOKUP("Nombre d'abonnés année 1",'Hypothèses'!$A$5:$B$24,2,FALSE)*VLOOKUP("Abonnement mensuel moyen",'Hypothèses'!$A$5:$B$24,2,FALSE),0))</f>
        <v/>
      </c>
      <c r="G18" s="52">
        <f>IF(A18="","",IFERROR(E18*VLOOKUP("Taux de CA coaching / stages",'Hypothèses'!$A$5:$B$24,2,FALSE),0))</f>
        <v/>
      </c>
      <c r="H18" s="52">
        <f>IF(A18="","",IFERROR(D18*VLOOKUP("Panier moyen bar / boutique",'Hypothèses'!$A$5:$B$24,2,FALSE),0))</f>
        <v/>
      </c>
      <c r="I18" s="52">
        <f>IF(A18="","",SUM(E18:H18))</f>
        <v/>
      </c>
      <c r="J18" s="52">
        <f>IF(A18="","",IFERROR(I18*VLOOKUP("Taux de TVA principal",'Hypothèses'!$A$5:$B$24,2,FALSE),0))</f>
        <v/>
      </c>
      <c r="K18" s="52">
        <f>IF(A18="","",IFERROR(I18*VLOOKUP("Taux de charges variables",'Hypothèses'!$A$5:$B$24,2,FALSE),0))</f>
        <v/>
      </c>
      <c r="L18" s="52">
        <f>IF(A18="","",IFERROR(VLOOKUP("Masse salariale annuelle",'Hypothèses'!$A$5:$B$24,2,FALSE)/12,0))</f>
        <v/>
      </c>
      <c r="M18" s="52">
        <f>IF(A18="","",IFERROR(VLOOKUP("Loyer annuel",'Hypothèses'!$A$5:$B$24,2,FALSE)/12,0))</f>
        <v/>
      </c>
      <c r="N18" s="52">
        <f>IF(A18="","",IFERROR(VLOOKUP("Budget marketing annuel",'Hypothèses'!$A$5:$B$24,2,FALSE)/12,0))</f>
        <v/>
      </c>
      <c r="O18" s="52">
        <f>IF(A18="","",IFERROR(VLOOKUP("Autres charges mensuelles",'Hypothèses'!$A$5:$B$24,2,FALSE),0))</f>
        <v/>
      </c>
      <c r="P18" s="52">
        <f>IF(A18="","",IFERROR(I18-SUM(K18:O18),0))</f>
        <v/>
      </c>
      <c r="Q18" s="52">
        <f>IF(A18="","",IFERROR('Investissements'!$K$105/12,0))</f>
        <v/>
      </c>
      <c r="R18" s="52">
        <f>IF(A18="","",IFERROR(P18-Q18,0))</f>
        <v/>
      </c>
      <c r="S18" s="52">
        <f>IF(A18="","",'Hypothèses'!$B$21+SUM($P$5:P18)-SUMIFS('Investissements'!$I$5:$I$104,'Investissements'!$D$5:$D$104,"&lt;="&amp;(A18+32-DAY(A18+32))))</f>
        <v/>
      </c>
      <c r="T18" s="59">
        <f>IF(A18="","",IFERROR(P18/I18,0))</f>
        <v/>
      </c>
      <c r="U18" s="59">
        <f>IF(A18="","",IFERROR(VLOOKUP("Taux d'occupation cible année 1",'Hypothèses'!$A$5:$B$24,2,FALSE),0))</f>
        <v/>
      </c>
    </row>
    <row r="19">
      <c r="A19" s="47" t="n"/>
      <c r="B19" s="55" t="n"/>
      <c r="C19" s="56">
        <f>IF(A19="","",IFERROR((VLOOKUP("Nombre de terrains indoor",'Hypothèses'!$A$5:$B$24,2,FALSE)+VLOOKUP("Nombre de terrains outdoor",'Hypothèses'!$A$5:$B$24,2,FALSE))*VLOOKUP("Heures d'ouverture par terrain / mois",'Hypothèses'!$A$5:$B$24,2,FALSE),0))</f>
        <v/>
      </c>
      <c r="D19" s="56">
        <f>IF(A19="","",IFERROR(C19*B19,0))</f>
        <v/>
      </c>
      <c r="E19" s="50">
        <f>IF(A19="","",IFERROR(D19*VLOOKUP("Prix moyen réservation terrain",'Hypothèses'!$A$5:$B$24,2,FALSE),0))</f>
        <v/>
      </c>
      <c r="F19" s="50">
        <f>IF(A19="","",IFERROR(VLOOKUP("Nombre d'abonnés année 1",'Hypothèses'!$A$5:$B$24,2,FALSE)*VLOOKUP("Abonnement mensuel moyen",'Hypothèses'!$A$5:$B$24,2,FALSE),0))</f>
        <v/>
      </c>
      <c r="G19" s="50">
        <f>IF(A19="","",IFERROR(E19*VLOOKUP("Taux de CA coaching / stages",'Hypothèses'!$A$5:$B$24,2,FALSE),0))</f>
        <v/>
      </c>
      <c r="H19" s="50">
        <f>IF(A19="","",IFERROR(D19*VLOOKUP("Panier moyen bar / boutique",'Hypothèses'!$A$5:$B$24,2,FALSE),0))</f>
        <v/>
      </c>
      <c r="I19" s="50">
        <f>IF(A19="","",SUM(E19:H19))</f>
        <v/>
      </c>
      <c r="J19" s="50">
        <f>IF(A19="","",IFERROR(I19*VLOOKUP("Taux de TVA principal",'Hypothèses'!$A$5:$B$24,2,FALSE),0))</f>
        <v/>
      </c>
      <c r="K19" s="50">
        <f>IF(A19="","",IFERROR(I19*VLOOKUP("Taux de charges variables",'Hypothèses'!$A$5:$B$24,2,FALSE),0))</f>
        <v/>
      </c>
      <c r="L19" s="50">
        <f>IF(A19="","",IFERROR(VLOOKUP("Masse salariale annuelle",'Hypothèses'!$A$5:$B$24,2,FALSE)/12,0))</f>
        <v/>
      </c>
      <c r="M19" s="50">
        <f>IF(A19="","",IFERROR(VLOOKUP("Loyer annuel",'Hypothèses'!$A$5:$B$24,2,FALSE)/12,0))</f>
        <v/>
      </c>
      <c r="N19" s="50">
        <f>IF(A19="","",IFERROR(VLOOKUP("Budget marketing annuel",'Hypothèses'!$A$5:$B$24,2,FALSE)/12,0))</f>
        <v/>
      </c>
      <c r="O19" s="50">
        <f>IF(A19="","",IFERROR(VLOOKUP("Autres charges mensuelles",'Hypothèses'!$A$5:$B$24,2,FALSE),0))</f>
        <v/>
      </c>
      <c r="P19" s="50">
        <f>IF(A19="","",IFERROR(I19-SUM(K19:O19),0))</f>
        <v/>
      </c>
      <c r="Q19" s="50">
        <f>IF(A19="","",IFERROR('Investissements'!$K$105/12,0))</f>
        <v/>
      </c>
      <c r="R19" s="50">
        <f>IF(A19="","",IFERROR(P19-Q19,0))</f>
        <v/>
      </c>
      <c r="S19" s="50">
        <f>IF(A19="","",'Hypothèses'!$B$21+SUM($P$5:P19)-SUMIFS('Investissements'!$I$5:$I$104,'Investissements'!$D$5:$D$104,"&lt;="&amp;(A19+32-DAY(A19+32))))</f>
        <v/>
      </c>
      <c r="T19" s="57">
        <f>IF(A19="","",IFERROR(P19/I19,0))</f>
        <v/>
      </c>
      <c r="U19" s="57">
        <f>IF(A19="","",IFERROR(VLOOKUP("Taux d'occupation cible année 1",'Hypothèses'!$A$5:$B$24,2,FALSE),0))</f>
        <v/>
      </c>
    </row>
    <row r="20">
      <c r="A20" s="47" t="n"/>
      <c r="B20" s="55" t="n"/>
      <c r="C20" s="58">
        <f>IF(A20="","",IFERROR((VLOOKUP("Nombre de terrains indoor",'Hypothèses'!$A$5:$B$24,2,FALSE)+VLOOKUP("Nombre de terrains outdoor",'Hypothèses'!$A$5:$B$24,2,FALSE))*VLOOKUP("Heures d'ouverture par terrain / mois",'Hypothèses'!$A$5:$B$24,2,FALSE),0))</f>
        <v/>
      </c>
      <c r="D20" s="58">
        <f>IF(A20="","",IFERROR(C20*B20,0))</f>
        <v/>
      </c>
      <c r="E20" s="52">
        <f>IF(A20="","",IFERROR(D20*VLOOKUP("Prix moyen réservation terrain",'Hypothèses'!$A$5:$B$24,2,FALSE),0))</f>
        <v/>
      </c>
      <c r="F20" s="52">
        <f>IF(A20="","",IFERROR(VLOOKUP("Nombre d'abonnés année 1",'Hypothèses'!$A$5:$B$24,2,FALSE)*VLOOKUP("Abonnement mensuel moyen",'Hypothèses'!$A$5:$B$24,2,FALSE),0))</f>
        <v/>
      </c>
      <c r="G20" s="52">
        <f>IF(A20="","",IFERROR(E20*VLOOKUP("Taux de CA coaching / stages",'Hypothèses'!$A$5:$B$24,2,FALSE),0))</f>
        <v/>
      </c>
      <c r="H20" s="52">
        <f>IF(A20="","",IFERROR(D20*VLOOKUP("Panier moyen bar / boutique",'Hypothèses'!$A$5:$B$24,2,FALSE),0))</f>
        <v/>
      </c>
      <c r="I20" s="52">
        <f>IF(A20="","",SUM(E20:H20))</f>
        <v/>
      </c>
      <c r="J20" s="52">
        <f>IF(A20="","",IFERROR(I20*VLOOKUP("Taux de TVA principal",'Hypothèses'!$A$5:$B$24,2,FALSE),0))</f>
        <v/>
      </c>
      <c r="K20" s="52">
        <f>IF(A20="","",IFERROR(I20*VLOOKUP("Taux de charges variables",'Hypothèses'!$A$5:$B$24,2,FALSE),0))</f>
        <v/>
      </c>
      <c r="L20" s="52">
        <f>IF(A20="","",IFERROR(VLOOKUP("Masse salariale annuelle",'Hypothèses'!$A$5:$B$24,2,FALSE)/12,0))</f>
        <v/>
      </c>
      <c r="M20" s="52">
        <f>IF(A20="","",IFERROR(VLOOKUP("Loyer annuel",'Hypothèses'!$A$5:$B$24,2,FALSE)/12,0))</f>
        <v/>
      </c>
      <c r="N20" s="52">
        <f>IF(A20="","",IFERROR(VLOOKUP("Budget marketing annuel",'Hypothèses'!$A$5:$B$24,2,FALSE)/12,0))</f>
        <v/>
      </c>
      <c r="O20" s="52">
        <f>IF(A20="","",IFERROR(VLOOKUP("Autres charges mensuelles",'Hypothèses'!$A$5:$B$24,2,FALSE),0))</f>
        <v/>
      </c>
      <c r="P20" s="52">
        <f>IF(A20="","",IFERROR(I20-SUM(K20:O20),0))</f>
        <v/>
      </c>
      <c r="Q20" s="52">
        <f>IF(A20="","",IFERROR('Investissements'!$K$105/12,0))</f>
        <v/>
      </c>
      <c r="R20" s="52">
        <f>IF(A20="","",IFERROR(P20-Q20,0))</f>
        <v/>
      </c>
      <c r="S20" s="52">
        <f>IF(A20="","",'Hypothèses'!$B$21+SUM($P$5:P20)-SUMIFS('Investissements'!$I$5:$I$104,'Investissements'!$D$5:$D$104,"&lt;="&amp;(A20+32-DAY(A20+32))))</f>
        <v/>
      </c>
      <c r="T20" s="59">
        <f>IF(A20="","",IFERROR(P20/I20,0))</f>
        <v/>
      </c>
      <c r="U20" s="59">
        <f>IF(A20="","",IFERROR(VLOOKUP("Taux d'occupation cible année 1",'Hypothèses'!$A$5:$B$24,2,FALSE),0))</f>
        <v/>
      </c>
    </row>
    <row r="21">
      <c r="A21" s="47" t="n"/>
      <c r="B21" s="55" t="n"/>
      <c r="C21" s="56">
        <f>IF(A21="","",IFERROR((VLOOKUP("Nombre de terrains indoor",'Hypothèses'!$A$5:$B$24,2,FALSE)+VLOOKUP("Nombre de terrains outdoor",'Hypothèses'!$A$5:$B$24,2,FALSE))*VLOOKUP("Heures d'ouverture par terrain / mois",'Hypothèses'!$A$5:$B$24,2,FALSE),0))</f>
        <v/>
      </c>
      <c r="D21" s="56">
        <f>IF(A21="","",IFERROR(C21*B21,0))</f>
        <v/>
      </c>
      <c r="E21" s="50">
        <f>IF(A21="","",IFERROR(D21*VLOOKUP("Prix moyen réservation terrain",'Hypothèses'!$A$5:$B$24,2,FALSE),0))</f>
        <v/>
      </c>
      <c r="F21" s="50">
        <f>IF(A21="","",IFERROR(VLOOKUP("Nombre d'abonnés année 1",'Hypothèses'!$A$5:$B$24,2,FALSE)*VLOOKUP("Abonnement mensuel moyen",'Hypothèses'!$A$5:$B$24,2,FALSE),0))</f>
        <v/>
      </c>
      <c r="G21" s="50">
        <f>IF(A21="","",IFERROR(E21*VLOOKUP("Taux de CA coaching / stages",'Hypothèses'!$A$5:$B$24,2,FALSE),0))</f>
        <v/>
      </c>
      <c r="H21" s="50">
        <f>IF(A21="","",IFERROR(D21*VLOOKUP("Panier moyen bar / boutique",'Hypothèses'!$A$5:$B$24,2,FALSE),0))</f>
        <v/>
      </c>
      <c r="I21" s="50">
        <f>IF(A21="","",SUM(E21:H21))</f>
        <v/>
      </c>
      <c r="J21" s="50">
        <f>IF(A21="","",IFERROR(I21*VLOOKUP("Taux de TVA principal",'Hypothèses'!$A$5:$B$24,2,FALSE),0))</f>
        <v/>
      </c>
      <c r="K21" s="50">
        <f>IF(A21="","",IFERROR(I21*VLOOKUP("Taux de charges variables",'Hypothèses'!$A$5:$B$24,2,FALSE),0))</f>
        <v/>
      </c>
      <c r="L21" s="50">
        <f>IF(A21="","",IFERROR(VLOOKUP("Masse salariale annuelle",'Hypothèses'!$A$5:$B$24,2,FALSE)/12,0))</f>
        <v/>
      </c>
      <c r="M21" s="50">
        <f>IF(A21="","",IFERROR(VLOOKUP("Loyer annuel",'Hypothèses'!$A$5:$B$24,2,FALSE)/12,0))</f>
        <v/>
      </c>
      <c r="N21" s="50">
        <f>IF(A21="","",IFERROR(VLOOKUP("Budget marketing annuel",'Hypothèses'!$A$5:$B$24,2,FALSE)/12,0))</f>
        <v/>
      </c>
      <c r="O21" s="50">
        <f>IF(A21="","",IFERROR(VLOOKUP("Autres charges mensuelles",'Hypothèses'!$A$5:$B$24,2,FALSE),0))</f>
        <v/>
      </c>
      <c r="P21" s="50">
        <f>IF(A21="","",IFERROR(I21-SUM(K21:O21),0))</f>
        <v/>
      </c>
      <c r="Q21" s="50">
        <f>IF(A21="","",IFERROR('Investissements'!$K$105/12,0))</f>
        <v/>
      </c>
      <c r="R21" s="50">
        <f>IF(A21="","",IFERROR(P21-Q21,0))</f>
        <v/>
      </c>
      <c r="S21" s="50">
        <f>IF(A21="","",'Hypothèses'!$B$21+SUM($P$5:P21)-SUMIFS('Investissements'!$I$5:$I$104,'Investissements'!$D$5:$D$104,"&lt;="&amp;(A21+32-DAY(A21+32))))</f>
        <v/>
      </c>
      <c r="T21" s="57">
        <f>IF(A21="","",IFERROR(P21/I21,0))</f>
        <v/>
      </c>
      <c r="U21" s="57">
        <f>IF(A21="","",IFERROR(VLOOKUP("Taux d'occupation cible année 1",'Hypothèses'!$A$5:$B$24,2,FALSE),0))</f>
        <v/>
      </c>
    </row>
    <row r="22">
      <c r="A22" s="47" t="n"/>
      <c r="B22" s="55" t="n"/>
      <c r="C22" s="58">
        <f>IF(A22="","",IFERROR((VLOOKUP("Nombre de terrains indoor",'Hypothèses'!$A$5:$B$24,2,FALSE)+VLOOKUP("Nombre de terrains outdoor",'Hypothèses'!$A$5:$B$24,2,FALSE))*VLOOKUP("Heures d'ouverture par terrain / mois",'Hypothèses'!$A$5:$B$24,2,FALSE),0))</f>
        <v/>
      </c>
      <c r="D22" s="58">
        <f>IF(A22="","",IFERROR(C22*B22,0))</f>
        <v/>
      </c>
      <c r="E22" s="52">
        <f>IF(A22="","",IFERROR(D22*VLOOKUP("Prix moyen réservation terrain",'Hypothèses'!$A$5:$B$24,2,FALSE),0))</f>
        <v/>
      </c>
      <c r="F22" s="52">
        <f>IF(A22="","",IFERROR(VLOOKUP("Nombre d'abonnés année 1",'Hypothèses'!$A$5:$B$24,2,FALSE)*VLOOKUP("Abonnement mensuel moyen",'Hypothèses'!$A$5:$B$24,2,FALSE),0))</f>
        <v/>
      </c>
      <c r="G22" s="52">
        <f>IF(A22="","",IFERROR(E22*VLOOKUP("Taux de CA coaching / stages",'Hypothèses'!$A$5:$B$24,2,FALSE),0))</f>
        <v/>
      </c>
      <c r="H22" s="52">
        <f>IF(A22="","",IFERROR(D22*VLOOKUP("Panier moyen bar / boutique",'Hypothèses'!$A$5:$B$24,2,FALSE),0))</f>
        <v/>
      </c>
      <c r="I22" s="52">
        <f>IF(A22="","",SUM(E22:H22))</f>
        <v/>
      </c>
      <c r="J22" s="52">
        <f>IF(A22="","",IFERROR(I22*VLOOKUP("Taux de TVA principal",'Hypothèses'!$A$5:$B$24,2,FALSE),0))</f>
        <v/>
      </c>
      <c r="K22" s="52">
        <f>IF(A22="","",IFERROR(I22*VLOOKUP("Taux de charges variables",'Hypothèses'!$A$5:$B$24,2,FALSE),0))</f>
        <v/>
      </c>
      <c r="L22" s="52">
        <f>IF(A22="","",IFERROR(VLOOKUP("Masse salariale annuelle",'Hypothèses'!$A$5:$B$24,2,FALSE)/12,0))</f>
        <v/>
      </c>
      <c r="M22" s="52">
        <f>IF(A22="","",IFERROR(VLOOKUP("Loyer annuel",'Hypothèses'!$A$5:$B$24,2,FALSE)/12,0))</f>
        <v/>
      </c>
      <c r="N22" s="52">
        <f>IF(A22="","",IFERROR(VLOOKUP("Budget marketing annuel",'Hypothèses'!$A$5:$B$24,2,FALSE)/12,0))</f>
        <v/>
      </c>
      <c r="O22" s="52">
        <f>IF(A22="","",IFERROR(VLOOKUP("Autres charges mensuelles",'Hypothèses'!$A$5:$B$24,2,FALSE),0))</f>
        <v/>
      </c>
      <c r="P22" s="52">
        <f>IF(A22="","",IFERROR(I22-SUM(K22:O22),0))</f>
        <v/>
      </c>
      <c r="Q22" s="52">
        <f>IF(A22="","",IFERROR('Investissements'!$K$105/12,0))</f>
        <v/>
      </c>
      <c r="R22" s="52">
        <f>IF(A22="","",IFERROR(P22-Q22,0))</f>
        <v/>
      </c>
      <c r="S22" s="52">
        <f>IF(A22="","",'Hypothèses'!$B$21+SUM($P$5:P22)-SUMIFS('Investissements'!$I$5:$I$104,'Investissements'!$D$5:$D$104,"&lt;="&amp;(A22+32-DAY(A22+32))))</f>
        <v/>
      </c>
      <c r="T22" s="59">
        <f>IF(A22="","",IFERROR(P22/I22,0))</f>
        <v/>
      </c>
      <c r="U22" s="59">
        <f>IF(A22="","",IFERROR(VLOOKUP("Taux d'occupation cible année 1",'Hypothèses'!$A$5:$B$24,2,FALSE),0))</f>
        <v/>
      </c>
    </row>
    <row r="23">
      <c r="A23" s="47" t="n"/>
      <c r="B23" s="55" t="n"/>
      <c r="C23" s="56">
        <f>IF(A23="","",IFERROR((VLOOKUP("Nombre de terrains indoor",'Hypothèses'!$A$5:$B$24,2,FALSE)+VLOOKUP("Nombre de terrains outdoor",'Hypothèses'!$A$5:$B$24,2,FALSE))*VLOOKUP("Heures d'ouverture par terrain / mois",'Hypothèses'!$A$5:$B$24,2,FALSE),0))</f>
        <v/>
      </c>
      <c r="D23" s="56">
        <f>IF(A23="","",IFERROR(C23*B23,0))</f>
        <v/>
      </c>
      <c r="E23" s="50">
        <f>IF(A23="","",IFERROR(D23*VLOOKUP("Prix moyen réservation terrain",'Hypothèses'!$A$5:$B$24,2,FALSE),0))</f>
        <v/>
      </c>
      <c r="F23" s="50">
        <f>IF(A23="","",IFERROR(VLOOKUP("Nombre d'abonnés année 1",'Hypothèses'!$A$5:$B$24,2,FALSE)*VLOOKUP("Abonnement mensuel moyen",'Hypothèses'!$A$5:$B$24,2,FALSE),0))</f>
        <v/>
      </c>
      <c r="G23" s="50">
        <f>IF(A23="","",IFERROR(E23*VLOOKUP("Taux de CA coaching / stages",'Hypothèses'!$A$5:$B$24,2,FALSE),0))</f>
        <v/>
      </c>
      <c r="H23" s="50">
        <f>IF(A23="","",IFERROR(D23*VLOOKUP("Panier moyen bar / boutique",'Hypothèses'!$A$5:$B$24,2,FALSE),0))</f>
        <v/>
      </c>
      <c r="I23" s="50">
        <f>IF(A23="","",SUM(E23:H23))</f>
        <v/>
      </c>
      <c r="J23" s="50">
        <f>IF(A23="","",IFERROR(I23*VLOOKUP("Taux de TVA principal",'Hypothèses'!$A$5:$B$24,2,FALSE),0))</f>
        <v/>
      </c>
      <c r="K23" s="50">
        <f>IF(A23="","",IFERROR(I23*VLOOKUP("Taux de charges variables",'Hypothèses'!$A$5:$B$24,2,FALSE),0))</f>
        <v/>
      </c>
      <c r="L23" s="50">
        <f>IF(A23="","",IFERROR(VLOOKUP("Masse salariale annuelle",'Hypothèses'!$A$5:$B$24,2,FALSE)/12,0))</f>
        <v/>
      </c>
      <c r="M23" s="50">
        <f>IF(A23="","",IFERROR(VLOOKUP("Loyer annuel",'Hypothèses'!$A$5:$B$24,2,FALSE)/12,0))</f>
        <v/>
      </c>
      <c r="N23" s="50">
        <f>IF(A23="","",IFERROR(VLOOKUP("Budget marketing annuel",'Hypothèses'!$A$5:$B$24,2,FALSE)/12,0))</f>
        <v/>
      </c>
      <c r="O23" s="50">
        <f>IF(A23="","",IFERROR(VLOOKUP("Autres charges mensuelles",'Hypothèses'!$A$5:$B$24,2,FALSE),0))</f>
        <v/>
      </c>
      <c r="P23" s="50">
        <f>IF(A23="","",IFERROR(I23-SUM(K23:O23),0))</f>
        <v/>
      </c>
      <c r="Q23" s="50">
        <f>IF(A23="","",IFERROR('Investissements'!$K$105/12,0))</f>
        <v/>
      </c>
      <c r="R23" s="50">
        <f>IF(A23="","",IFERROR(P23-Q23,0))</f>
        <v/>
      </c>
      <c r="S23" s="50">
        <f>IF(A23="","",'Hypothèses'!$B$21+SUM($P$5:P23)-SUMIFS('Investissements'!$I$5:$I$104,'Investissements'!$D$5:$D$104,"&lt;="&amp;(A23+32-DAY(A23+32))))</f>
        <v/>
      </c>
      <c r="T23" s="57">
        <f>IF(A23="","",IFERROR(P23/I23,0))</f>
        <v/>
      </c>
      <c r="U23" s="57">
        <f>IF(A23="","",IFERROR(VLOOKUP("Taux d'occupation cible année 1",'Hypothèses'!$A$5:$B$24,2,FALSE),0))</f>
        <v/>
      </c>
    </row>
    <row r="24">
      <c r="A24" s="47" t="n"/>
      <c r="B24" s="55" t="n"/>
      <c r="C24" s="58">
        <f>IF(A24="","",IFERROR((VLOOKUP("Nombre de terrains indoor",'Hypothèses'!$A$5:$B$24,2,FALSE)+VLOOKUP("Nombre de terrains outdoor",'Hypothèses'!$A$5:$B$24,2,FALSE))*VLOOKUP("Heures d'ouverture par terrain / mois",'Hypothèses'!$A$5:$B$24,2,FALSE),0))</f>
        <v/>
      </c>
      <c r="D24" s="58">
        <f>IF(A24="","",IFERROR(C24*B24,0))</f>
        <v/>
      </c>
      <c r="E24" s="52">
        <f>IF(A24="","",IFERROR(D24*VLOOKUP("Prix moyen réservation terrain",'Hypothèses'!$A$5:$B$24,2,FALSE),0))</f>
        <v/>
      </c>
      <c r="F24" s="52">
        <f>IF(A24="","",IFERROR(VLOOKUP("Nombre d'abonnés année 1",'Hypothèses'!$A$5:$B$24,2,FALSE)*VLOOKUP("Abonnement mensuel moyen",'Hypothèses'!$A$5:$B$24,2,FALSE),0))</f>
        <v/>
      </c>
      <c r="G24" s="52">
        <f>IF(A24="","",IFERROR(E24*VLOOKUP("Taux de CA coaching / stages",'Hypothèses'!$A$5:$B$24,2,FALSE),0))</f>
        <v/>
      </c>
      <c r="H24" s="52">
        <f>IF(A24="","",IFERROR(D24*VLOOKUP("Panier moyen bar / boutique",'Hypothèses'!$A$5:$B$24,2,FALSE),0))</f>
        <v/>
      </c>
      <c r="I24" s="52">
        <f>IF(A24="","",SUM(E24:H24))</f>
        <v/>
      </c>
      <c r="J24" s="52">
        <f>IF(A24="","",IFERROR(I24*VLOOKUP("Taux de TVA principal",'Hypothèses'!$A$5:$B$24,2,FALSE),0))</f>
        <v/>
      </c>
      <c r="K24" s="52">
        <f>IF(A24="","",IFERROR(I24*VLOOKUP("Taux de charges variables",'Hypothèses'!$A$5:$B$24,2,FALSE),0))</f>
        <v/>
      </c>
      <c r="L24" s="52">
        <f>IF(A24="","",IFERROR(VLOOKUP("Masse salariale annuelle",'Hypothèses'!$A$5:$B$24,2,FALSE)/12,0))</f>
        <v/>
      </c>
      <c r="M24" s="52">
        <f>IF(A24="","",IFERROR(VLOOKUP("Loyer annuel",'Hypothèses'!$A$5:$B$24,2,FALSE)/12,0))</f>
        <v/>
      </c>
      <c r="N24" s="52">
        <f>IF(A24="","",IFERROR(VLOOKUP("Budget marketing annuel",'Hypothèses'!$A$5:$B$24,2,FALSE)/12,0))</f>
        <v/>
      </c>
      <c r="O24" s="52">
        <f>IF(A24="","",IFERROR(VLOOKUP("Autres charges mensuelles",'Hypothèses'!$A$5:$B$24,2,FALSE),0))</f>
        <v/>
      </c>
      <c r="P24" s="52">
        <f>IF(A24="","",IFERROR(I24-SUM(K24:O24),0))</f>
        <v/>
      </c>
      <c r="Q24" s="52">
        <f>IF(A24="","",IFERROR('Investissements'!$K$105/12,0))</f>
        <v/>
      </c>
      <c r="R24" s="52">
        <f>IF(A24="","",IFERROR(P24-Q24,0))</f>
        <v/>
      </c>
      <c r="S24" s="52">
        <f>IF(A24="","",'Hypothèses'!$B$21+SUM($P$5:P24)-SUMIFS('Investissements'!$I$5:$I$104,'Investissements'!$D$5:$D$104,"&lt;="&amp;(A24+32-DAY(A24+32))))</f>
        <v/>
      </c>
      <c r="T24" s="59">
        <f>IF(A24="","",IFERROR(P24/I24,0))</f>
        <v/>
      </c>
      <c r="U24" s="59">
        <f>IF(A24="","",IFERROR(VLOOKUP("Taux d'occupation cible année 1",'Hypothèses'!$A$5:$B$24,2,FALSE),0))</f>
        <v/>
      </c>
    </row>
    <row r="25">
      <c r="A25" s="47" t="n"/>
      <c r="B25" s="55" t="n"/>
      <c r="C25" s="56">
        <f>IF(A25="","",IFERROR((VLOOKUP("Nombre de terrains indoor",'Hypothèses'!$A$5:$B$24,2,FALSE)+VLOOKUP("Nombre de terrains outdoor",'Hypothèses'!$A$5:$B$24,2,FALSE))*VLOOKUP("Heures d'ouverture par terrain / mois",'Hypothèses'!$A$5:$B$24,2,FALSE),0))</f>
        <v/>
      </c>
      <c r="D25" s="56">
        <f>IF(A25="","",IFERROR(C25*B25,0))</f>
        <v/>
      </c>
      <c r="E25" s="50">
        <f>IF(A25="","",IFERROR(D25*VLOOKUP("Prix moyen réservation terrain",'Hypothèses'!$A$5:$B$24,2,FALSE),0))</f>
        <v/>
      </c>
      <c r="F25" s="50">
        <f>IF(A25="","",IFERROR(VLOOKUP("Nombre d'abonnés année 1",'Hypothèses'!$A$5:$B$24,2,FALSE)*VLOOKUP("Abonnement mensuel moyen",'Hypothèses'!$A$5:$B$24,2,FALSE),0))</f>
        <v/>
      </c>
      <c r="G25" s="50">
        <f>IF(A25="","",IFERROR(E25*VLOOKUP("Taux de CA coaching / stages",'Hypothèses'!$A$5:$B$24,2,FALSE),0))</f>
        <v/>
      </c>
      <c r="H25" s="50">
        <f>IF(A25="","",IFERROR(D25*VLOOKUP("Panier moyen bar / boutique",'Hypothèses'!$A$5:$B$24,2,FALSE),0))</f>
        <v/>
      </c>
      <c r="I25" s="50">
        <f>IF(A25="","",SUM(E25:H25))</f>
        <v/>
      </c>
      <c r="J25" s="50">
        <f>IF(A25="","",IFERROR(I25*VLOOKUP("Taux de TVA principal",'Hypothèses'!$A$5:$B$24,2,FALSE),0))</f>
        <v/>
      </c>
      <c r="K25" s="50">
        <f>IF(A25="","",IFERROR(I25*VLOOKUP("Taux de charges variables",'Hypothèses'!$A$5:$B$24,2,FALSE),0))</f>
        <v/>
      </c>
      <c r="L25" s="50">
        <f>IF(A25="","",IFERROR(VLOOKUP("Masse salariale annuelle",'Hypothèses'!$A$5:$B$24,2,FALSE)/12,0))</f>
        <v/>
      </c>
      <c r="M25" s="50">
        <f>IF(A25="","",IFERROR(VLOOKUP("Loyer annuel",'Hypothèses'!$A$5:$B$24,2,FALSE)/12,0))</f>
        <v/>
      </c>
      <c r="N25" s="50">
        <f>IF(A25="","",IFERROR(VLOOKUP("Budget marketing annuel",'Hypothèses'!$A$5:$B$24,2,FALSE)/12,0))</f>
        <v/>
      </c>
      <c r="O25" s="50">
        <f>IF(A25="","",IFERROR(VLOOKUP("Autres charges mensuelles",'Hypothèses'!$A$5:$B$24,2,FALSE),0))</f>
        <v/>
      </c>
      <c r="P25" s="50">
        <f>IF(A25="","",IFERROR(I25-SUM(K25:O25),0))</f>
        <v/>
      </c>
      <c r="Q25" s="50">
        <f>IF(A25="","",IFERROR('Investissements'!$K$105/12,0))</f>
        <v/>
      </c>
      <c r="R25" s="50">
        <f>IF(A25="","",IFERROR(P25-Q25,0))</f>
        <v/>
      </c>
      <c r="S25" s="50">
        <f>IF(A25="","",'Hypothèses'!$B$21+SUM($P$5:P25)-SUMIFS('Investissements'!$I$5:$I$104,'Investissements'!$D$5:$D$104,"&lt;="&amp;(A25+32-DAY(A25+32))))</f>
        <v/>
      </c>
      <c r="T25" s="57">
        <f>IF(A25="","",IFERROR(P25/I25,0))</f>
        <v/>
      </c>
      <c r="U25" s="57">
        <f>IF(A25="","",IFERROR(VLOOKUP("Taux d'occupation cible année 1",'Hypothèses'!$A$5:$B$24,2,FALSE),0))</f>
        <v/>
      </c>
    </row>
    <row r="26">
      <c r="A26" s="47" t="n"/>
      <c r="B26" s="55" t="n"/>
      <c r="C26" s="58">
        <f>IF(A26="","",IFERROR((VLOOKUP("Nombre de terrains indoor",'Hypothèses'!$A$5:$B$24,2,FALSE)+VLOOKUP("Nombre de terrains outdoor",'Hypothèses'!$A$5:$B$24,2,FALSE))*VLOOKUP("Heures d'ouverture par terrain / mois",'Hypothèses'!$A$5:$B$24,2,FALSE),0))</f>
        <v/>
      </c>
      <c r="D26" s="58">
        <f>IF(A26="","",IFERROR(C26*B26,0))</f>
        <v/>
      </c>
      <c r="E26" s="52">
        <f>IF(A26="","",IFERROR(D26*VLOOKUP("Prix moyen réservation terrain",'Hypothèses'!$A$5:$B$24,2,FALSE),0))</f>
        <v/>
      </c>
      <c r="F26" s="52">
        <f>IF(A26="","",IFERROR(VLOOKUP("Nombre d'abonnés année 1",'Hypothèses'!$A$5:$B$24,2,FALSE)*VLOOKUP("Abonnement mensuel moyen",'Hypothèses'!$A$5:$B$24,2,FALSE),0))</f>
        <v/>
      </c>
      <c r="G26" s="52">
        <f>IF(A26="","",IFERROR(E26*VLOOKUP("Taux de CA coaching / stages",'Hypothèses'!$A$5:$B$24,2,FALSE),0))</f>
        <v/>
      </c>
      <c r="H26" s="52">
        <f>IF(A26="","",IFERROR(D26*VLOOKUP("Panier moyen bar / boutique",'Hypothèses'!$A$5:$B$24,2,FALSE),0))</f>
        <v/>
      </c>
      <c r="I26" s="52">
        <f>IF(A26="","",SUM(E26:H26))</f>
        <v/>
      </c>
      <c r="J26" s="52">
        <f>IF(A26="","",IFERROR(I26*VLOOKUP("Taux de TVA principal",'Hypothèses'!$A$5:$B$24,2,FALSE),0))</f>
        <v/>
      </c>
      <c r="K26" s="52">
        <f>IF(A26="","",IFERROR(I26*VLOOKUP("Taux de charges variables",'Hypothèses'!$A$5:$B$24,2,FALSE),0))</f>
        <v/>
      </c>
      <c r="L26" s="52">
        <f>IF(A26="","",IFERROR(VLOOKUP("Masse salariale annuelle",'Hypothèses'!$A$5:$B$24,2,FALSE)/12,0))</f>
        <v/>
      </c>
      <c r="M26" s="52">
        <f>IF(A26="","",IFERROR(VLOOKUP("Loyer annuel",'Hypothèses'!$A$5:$B$24,2,FALSE)/12,0))</f>
        <v/>
      </c>
      <c r="N26" s="52">
        <f>IF(A26="","",IFERROR(VLOOKUP("Budget marketing annuel",'Hypothèses'!$A$5:$B$24,2,FALSE)/12,0))</f>
        <v/>
      </c>
      <c r="O26" s="52">
        <f>IF(A26="","",IFERROR(VLOOKUP("Autres charges mensuelles",'Hypothèses'!$A$5:$B$24,2,FALSE),0))</f>
        <v/>
      </c>
      <c r="P26" s="52">
        <f>IF(A26="","",IFERROR(I26-SUM(K26:O26),0))</f>
        <v/>
      </c>
      <c r="Q26" s="52">
        <f>IF(A26="","",IFERROR('Investissements'!$K$105/12,0))</f>
        <v/>
      </c>
      <c r="R26" s="52">
        <f>IF(A26="","",IFERROR(P26-Q26,0))</f>
        <v/>
      </c>
      <c r="S26" s="52">
        <f>IF(A26="","",'Hypothèses'!$B$21+SUM($P$5:P26)-SUMIFS('Investissements'!$I$5:$I$104,'Investissements'!$D$5:$D$104,"&lt;="&amp;(A26+32-DAY(A26+32))))</f>
        <v/>
      </c>
      <c r="T26" s="59">
        <f>IF(A26="","",IFERROR(P26/I26,0))</f>
        <v/>
      </c>
      <c r="U26" s="59">
        <f>IF(A26="","",IFERROR(VLOOKUP("Taux d'occupation cible année 1",'Hypothèses'!$A$5:$B$24,2,FALSE),0))</f>
        <v/>
      </c>
    </row>
    <row r="27">
      <c r="A27" s="47" t="n"/>
      <c r="B27" s="55" t="n"/>
      <c r="C27" s="56">
        <f>IF(A27="","",IFERROR((VLOOKUP("Nombre de terrains indoor",'Hypothèses'!$A$5:$B$24,2,FALSE)+VLOOKUP("Nombre de terrains outdoor",'Hypothèses'!$A$5:$B$24,2,FALSE))*VLOOKUP("Heures d'ouverture par terrain / mois",'Hypothèses'!$A$5:$B$24,2,FALSE),0))</f>
        <v/>
      </c>
      <c r="D27" s="56">
        <f>IF(A27="","",IFERROR(C27*B27,0))</f>
        <v/>
      </c>
      <c r="E27" s="50">
        <f>IF(A27="","",IFERROR(D27*VLOOKUP("Prix moyen réservation terrain",'Hypothèses'!$A$5:$B$24,2,FALSE),0))</f>
        <v/>
      </c>
      <c r="F27" s="50">
        <f>IF(A27="","",IFERROR(VLOOKUP("Nombre d'abonnés année 1",'Hypothèses'!$A$5:$B$24,2,FALSE)*VLOOKUP("Abonnement mensuel moyen",'Hypothèses'!$A$5:$B$24,2,FALSE),0))</f>
        <v/>
      </c>
      <c r="G27" s="50">
        <f>IF(A27="","",IFERROR(E27*VLOOKUP("Taux de CA coaching / stages",'Hypothèses'!$A$5:$B$24,2,FALSE),0))</f>
        <v/>
      </c>
      <c r="H27" s="50">
        <f>IF(A27="","",IFERROR(D27*VLOOKUP("Panier moyen bar / boutique",'Hypothèses'!$A$5:$B$24,2,FALSE),0))</f>
        <v/>
      </c>
      <c r="I27" s="50">
        <f>IF(A27="","",SUM(E27:H27))</f>
        <v/>
      </c>
      <c r="J27" s="50">
        <f>IF(A27="","",IFERROR(I27*VLOOKUP("Taux de TVA principal",'Hypothèses'!$A$5:$B$24,2,FALSE),0))</f>
        <v/>
      </c>
      <c r="K27" s="50">
        <f>IF(A27="","",IFERROR(I27*VLOOKUP("Taux de charges variables",'Hypothèses'!$A$5:$B$24,2,FALSE),0))</f>
        <v/>
      </c>
      <c r="L27" s="50">
        <f>IF(A27="","",IFERROR(VLOOKUP("Masse salariale annuelle",'Hypothèses'!$A$5:$B$24,2,FALSE)/12,0))</f>
        <v/>
      </c>
      <c r="M27" s="50">
        <f>IF(A27="","",IFERROR(VLOOKUP("Loyer annuel",'Hypothèses'!$A$5:$B$24,2,FALSE)/12,0))</f>
        <v/>
      </c>
      <c r="N27" s="50">
        <f>IF(A27="","",IFERROR(VLOOKUP("Budget marketing annuel",'Hypothèses'!$A$5:$B$24,2,FALSE)/12,0))</f>
        <v/>
      </c>
      <c r="O27" s="50">
        <f>IF(A27="","",IFERROR(VLOOKUP("Autres charges mensuelles",'Hypothèses'!$A$5:$B$24,2,FALSE),0))</f>
        <v/>
      </c>
      <c r="P27" s="50">
        <f>IF(A27="","",IFERROR(I27-SUM(K27:O27),0))</f>
        <v/>
      </c>
      <c r="Q27" s="50">
        <f>IF(A27="","",IFERROR('Investissements'!$K$105/12,0))</f>
        <v/>
      </c>
      <c r="R27" s="50">
        <f>IF(A27="","",IFERROR(P27-Q27,0))</f>
        <v/>
      </c>
      <c r="S27" s="50">
        <f>IF(A27="","",'Hypothèses'!$B$21+SUM($P$5:P27)-SUMIFS('Investissements'!$I$5:$I$104,'Investissements'!$D$5:$D$104,"&lt;="&amp;(A27+32-DAY(A27+32))))</f>
        <v/>
      </c>
      <c r="T27" s="57">
        <f>IF(A27="","",IFERROR(P27/I27,0))</f>
        <v/>
      </c>
      <c r="U27" s="57">
        <f>IF(A27="","",IFERROR(VLOOKUP("Taux d'occupation cible année 1",'Hypothèses'!$A$5:$B$24,2,FALSE),0))</f>
        <v/>
      </c>
    </row>
    <row r="28">
      <c r="A28" s="47" t="n"/>
      <c r="B28" s="55" t="n"/>
      <c r="C28" s="58">
        <f>IF(A28="","",IFERROR((VLOOKUP("Nombre de terrains indoor",'Hypothèses'!$A$5:$B$24,2,FALSE)+VLOOKUP("Nombre de terrains outdoor",'Hypothèses'!$A$5:$B$24,2,FALSE))*VLOOKUP("Heures d'ouverture par terrain / mois",'Hypothèses'!$A$5:$B$24,2,FALSE),0))</f>
        <v/>
      </c>
      <c r="D28" s="58">
        <f>IF(A28="","",IFERROR(C28*B28,0))</f>
        <v/>
      </c>
      <c r="E28" s="52">
        <f>IF(A28="","",IFERROR(D28*VLOOKUP("Prix moyen réservation terrain",'Hypothèses'!$A$5:$B$24,2,FALSE),0))</f>
        <v/>
      </c>
      <c r="F28" s="52">
        <f>IF(A28="","",IFERROR(VLOOKUP("Nombre d'abonnés année 1",'Hypothèses'!$A$5:$B$24,2,FALSE)*VLOOKUP("Abonnement mensuel moyen",'Hypothèses'!$A$5:$B$24,2,FALSE),0))</f>
        <v/>
      </c>
      <c r="G28" s="52">
        <f>IF(A28="","",IFERROR(E28*VLOOKUP("Taux de CA coaching / stages",'Hypothèses'!$A$5:$B$24,2,FALSE),0))</f>
        <v/>
      </c>
      <c r="H28" s="52">
        <f>IF(A28="","",IFERROR(D28*VLOOKUP("Panier moyen bar / boutique",'Hypothèses'!$A$5:$B$24,2,FALSE),0))</f>
        <v/>
      </c>
      <c r="I28" s="52">
        <f>IF(A28="","",SUM(E28:H28))</f>
        <v/>
      </c>
      <c r="J28" s="52">
        <f>IF(A28="","",IFERROR(I28*VLOOKUP("Taux de TVA principal",'Hypothèses'!$A$5:$B$24,2,FALSE),0))</f>
        <v/>
      </c>
      <c r="K28" s="52">
        <f>IF(A28="","",IFERROR(I28*VLOOKUP("Taux de charges variables",'Hypothèses'!$A$5:$B$24,2,FALSE),0))</f>
        <v/>
      </c>
      <c r="L28" s="52">
        <f>IF(A28="","",IFERROR(VLOOKUP("Masse salariale annuelle",'Hypothèses'!$A$5:$B$24,2,FALSE)/12,0))</f>
        <v/>
      </c>
      <c r="M28" s="52">
        <f>IF(A28="","",IFERROR(VLOOKUP("Loyer annuel",'Hypothèses'!$A$5:$B$24,2,FALSE)/12,0))</f>
        <v/>
      </c>
      <c r="N28" s="52">
        <f>IF(A28="","",IFERROR(VLOOKUP("Budget marketing annuel",'Hypothèses'!$A$5:$B$24,2,FALSE)/12,0))</f>
        <v/>
      </c>
      <c r="O28" s="52">
        <f>IF(A28="","",IFERROR(VLOOKUP("Autres charges mensuelles",'Hypothèses'!$A$5:$B$24,2,FALSE),0))</f>
        <v/>
      </c>
      <c r="P28" s="52">
        <f>IF(A28="","",IFERROR(I28-SUM(K28:O28),0))</f>
        <v/>
      </c>
      <c r="Q28" s="52">
        <f>IF(A28="","",IFERROR('Investissements'!$K$105/12,0))</f>
        <v/>
      </c>
      <c r="R28" s="52">
        <f>IF(A28="","",IFERROR(P28-Q28,0))</f>
        <v/>
      </c>
      <c r="S28" s="52">
        <f>IF(A28="","",'Hypothèses'!$B$21+SUM($P$5:P28)-SUMIFS('Investissements'!$I$5:$I$104,'Investissements'!$D$5:$D$104,"&lt;="&amp;(A28+32-DAY(A28+32))))</f>
        <v/>
      </c>
      <c r="T28" s="59">
        <f>IF(A28="","",IFERROR(P28/I28,0))</f>
        <v/>
      </c>
      <c r="U28" s="59">
        <f>IF(A28="","",IFERROR(VLOOKUP("Taux d'occupation cible année 1",'Hypothèses'!$A$5:$B$24,2,FALSE),0))</f>
        <v/>
      </c>
    </row>
    <row r="29">
      <c r="A29" s="47" t="n"/>
      <c r="B29" s="55" t="n"/>
      <c r="C29" s="56">
        <f>IF(A29="","",IFERROR((VLOOKUP("Nombre de terrains indoor",'Hypothèses'!$A$5:$B$24,2,FALSE)+VLOOKUP("Nombre de terrains outdoor",'Hypothèses'!$A$5:$B$24,2,FALSE))*VLOOKUP("Heures d'ouverture par terrain / mois",'Hypothèses'!$A$5:$B$24,2,FALSE),0))</f>
        <v/>
      </c>
      <c r="D29" s="56">
        <f>IF(A29="","",IFERROR(C29*B29,0))</f>
        <v/>
      </c>
      <c r="E29" s="50">
        <f>IF(A29="","",IFERROR(D29*VLOOKUP("Prix moyen réservation terrain",'Hypothèses'!$A$5:$B$24,2,FALSE),0))</f>
        <v/>
      </c>
      <c r="F29" s="50">
        <f>IF(A29="","",IFERROR(VLOOKUP("Nombre d'abonnés année 1",'Hypothèses'!$A$5:$B$24,2,FALSE)*VLOOKUP("Abonnement mensuel moyen",'Hypothèses'!$A$5:$B$24,2,FALSE),0))</f>
        <v/>
      </c>
      <c r="G29" s="50">
        <f>IF(A29="","",IFERROR(E29*VLOOKUP("Taux de CA coaching / stages",'Hypothèses'!$A$5:$B$24,2,FALSE),0))</f>
        <v/>
      </c>
      <c r="H29" s="50">
        <f>IF(A29="","",IFERROR(D29*VLOOKUP("Panier moyen bar / boutique",'Hypothèses'!$A$5:$B$24,2,FALSE),0))</f>
        <v/>
      </c>
      <c r="I29" s="50">
        <f>IF(A29="","",SUM(E29:H29))</f>
        <v/>
      </c>
      <c r="J29" s="50">
        <f>IF(A29="","",IFERROR(I29*VLOOKUP("Taux de TVA principal",'Hypothèses'!$A$5:$B$24,2,FALSE),0))</f>
        <v/>
      </c>
      <c r="K29" s="50">
        <f>IF(A29="","",IFERROR(I29*VLOOKUP("Taux de charges variables",'Hypothèses'!$A$5:$B$24,2,FALSE),0))</f>
        <v/>
      </c>
      <c r="L29" s="50">
        <f>IF(A29="","",IFERROR(VLOOKUP("Masse salariale annuelle",'Hypothèses'!$A$5:$B$24,2,FALSE)/12,0))</f>
        <v/>
      </c>
      <c r="M29" s="50">
        <f>IF(A29="","",IFERROR(VLOOKUP("Loyer annuel",'Hypothèses'!$A$5:$B$24,2,FALSE)/12,0))</f>
        <v/>
      </c>
      <c r="N29" s="50">
        <f>IF(A29="","",IFERROR(VLOOKUP("Budget marketing annuel",'Hypothèses'!$A$5:$B$24,2,FALSE)/12,0))</f>
        <v/>
      </c>
      <c r="O29" s="50">
        <f>IF(A29="","",IFERROR(VLOOKUP("Autres charges mensuelles",'Hypothèses'!$A$5:$B$24,2,FALSE),0))</f>
        <v/>
      </c>
      <c r="P29" s="50">
        <f>IF(A29="","",IFERROR(I29-SUM(K29:O29),0))</f>
        <v/>
      </c>
      <c r="Q29" s="50">
        <f>IF(A29="","",IFERROR('Investissements'!$K$105/12,0))</f>
        <v/>
      </c>
      <c r="R29" s="50">
        <f>IF(A29="","",IFERROR(P29-Q29,0))</f>
        <v/>
      </c>
      <c r="S29" s="50">
        <f>IF(A29="","",'Hypothèses'!$B$21+SUM($P$5:P29)-SUMIFS('Investissements'!$I$5:$I$104,'Investissements'!$D$5:$D$104,"&lt;="&amp;(A29+32-DAY(A29+32))))</f>
        <v/>
      </c>
      <c r="T29" s="57">
        <f>IF(A29="","",IFERROR(P29/I29,0))</f>
        <v/>
      </c>
      <c r="U29" s="57">
        <f>IF(A29="","",IFERROR(VLOOKUP("Taux d'occupation cible année 1",'Hypothèses'!$A$5:$B$24,2,FALSE),0))</f>
        <v/>
      </c>
    </row>
    <row r="30">
      <c r="A30" s="47" t="n"/>
      <c r="B30" s="55" t="n"/>
      <c r="C30" s="58">
        <f>IF(A30="","",IFERROR((VLOOKUP("Nombre de terrains indoor",'Hypothèses'!$A$5:$B$24,2,FALSE)+VLOOKUP("Nombre de terrains outdoor",'Hypothèses'!$A$5:$B$24,2,FALSE))*VLOOKUP("Heures d'ouverture par terrain / mois",'Hypothèses'!$A$5:$B$24,2,FALSE),0))</f>
        <v/>
      </c>
      <c r="D30" s="58">
        <f>IF(A30="","",IFERROR(C30*B30,0))</f>
        <v/>
      </c>
      <c r="E30" s="52">
        <f>IF(A30="","",IFERROR(D30*VLOOKUP("Prix moyen réservation terrain",'Hypothèses'!$A$5:$B$24,2,FALSE),0))</f>
        <v/>
      </c>
      <c r="F30" s="52">
        <f>IF(A30="","",IFERROR(VLOOKUP("Nombre d'abonnés année 1",'Hypothèses'!$A$5:$B$24,2,FALSE)*VLOOKUP("Abonnement mensuel moyen",'Hypothèses'!$A$5:$B$24,2,FALSE),0))</f>
        <v/>
      </c>
      <c r="G30" s="52">
        <f>IF(A30="","",IFERROR(E30*VLOOKUP("Taux de CA coaching / stages",'Hypothèses'!$A$5:$B$24,2,FALSE),0))</f>
        <v/>
      </c>
      <c r="H30" s="52">
        <f>IF(A30="","",IFERROR(D30*VLOOKUP("Panier moyen bar / boutique",'Hypothèses'!$A$5:$B$24,2,FALSE),0))</f>
        <v/>
      </c>
      <c r="I30" s="52">
        <f>IF(A30="","",SUM(E30:H30))</f>
        <v/>
      </c>
      <c r="J30" s="52">
        <f>IF(A30="","",IFERROR(I30*VLOOKUP("Taux de TVA principal",'Hypothèses'!$A$5:$B$24,2,FALSE),0))</f>
        <v/>
      </c>
      <c r="K30" s="52">
        <f>IF(A30="","",IFERROR(I30*VLOOKUP("Taux de charges variables",'Hypothèses'!$A$5:$B$24,2,FALSE),0))</f>
        <v/>
      </c>
      <c r="L30" s="52">
        <f>IF(A30="","",IFERROR(VLOOKUP("Masse salariale annuelle",'Hypothèses'!$A$5:$B$24,2,FALSE)/12,0))</f>
        <v/>
      </c>
      <c r="M30" s="52">
        <f>IF(A30="","",IFERROR(VLOOKUP("Loyer annuel",'Hypothèses'!$A$5:$B$24,2,FALSE)/12,0))</f>
        <v/>
      </c>
      <c r="N30" s="52">
        <f>IF(A30="","",IFERROR(VLOOKUP("Budget marketing annuel",'Hypothèses'!$A$5:$B$24,2,FALSE)/12,0))</f>
        <v/>
      </c>
      <c r="O30" s="52">
        <f>IF(A30="","",IFERROR(VLOOKUP("Autres charges mensuelles",'Hypothèses'!$A$5:$B$24,2,FALSE),0))</f>
        <v/>
      </c>
      <c r="P30" s="52">
        <f>IF(A30="","",IFERROR(I30-SUM(K30:O30),0))</f>
        <v/>
      </c>
      <c r="Q30" s="52">
        <f>IF(A30="","",IFERROR('Investissements'!$K$105/12,0))</f>
        <v/>
      </c>
      <c r="R30" s="52">
        <f>IF(A30="","",IFERROR(P30-Q30,0))</f>
        <v/>
      </c>
      <c r="S30" s="52">
        <f>IF(A30="","",'Hypothèses'!$B$21+SUM($P$5:P30)-SUMIFS('Investissements'!$I$5:$I$104,'Investissements'!$D$5:$D$104,"&lt;="&amp;(A30+32-DAY(A30+32))))</f>
        <v/>
      </c>
      <c r="T30" s="59">
        <f>IF(A30="","",IFERROR(P30/I30,0))</f>
        <v/>
      </c>
      <c r="U30" s="59">
        <f>IF(A30="","",IFERROR(VLOOKUP("Taux d'occupation cible année 1",'Hypothèses'!$A$5:$B$24,2,FALSE),0))</f>
        <v/>
      </c>
    </row>
    <row r="31">
      <c r="A31" s="47" t="n"/>
      <c r="B31" s="55" t="n"/>
      <c r="C31" s="56">
        <f>IF(A31="","",IFERROR((VLOOKUP("Nombre de terrains indoor",'Hypothèses'!$A$5:$B$24,2,FALSE)+VLOOKUP("Nombre de terrains outdoor",'Hypothèses'!$A$5:$B$24,2,FALSE))*VLOOKUP("Heures d'ouverture par terrain / mois",'Hypothèses'!$A$5:$B$24,2,FALSE),0))</f>
        <v/>
      </c>
      <c r="D31" s="56">
        <f>IF(A31="","",IFERROR(C31*B31,0))</f>
        <v/>
      </c>
      <c r="E31" s="50">
        <f>IF(A31="","",IFERROR(D31*VLOOKUP("Prix moyen réservation terrain",'Hypothèses'!$A$5:$B$24,2,FALSE),0))</f>
        <v/>
      </c>
      <c r="F31" s="50">
        <f>IF(A31="","",IFERROR(VLOOKUP("Nombre d'abonnés année 1",'Hypothèses'!$A$5:$B$24,2,FALSE)*VLOOKUP("Abonnement mensuel moyen",'Hypothèses'!$A$5:$B$24,2,FALSE),0))</f>
        <v/>
      </c>
      <c r="G31" s="50">
        <f>IF(A31="","",IFERROR(E31*VLOOKUP("Taux de CA coaching / stages",'Hypothèses'!$A$5:$B$24,2,FALSE),0))</f>
        <v/>
      </c>
      <c r="H31" s="50">
        <f>IF(A31="","",IFERROR(D31*VLOOKUP("Panier moyen bar / boutique",'Hypothèses'!$A$5:$B$24,2,FALSE),0))</f>
        <v/>
      </c>
      <c r="I31" s="50">
        <f>IF(A31="","",SUM(E31:H31))</f>
        <v/>
      </c>
      <c r="J31" s="50">
        <f>IF(A31="","",IFERROR(I31*VLOOKUP("Taux de TVA principal",'Hypothèses'!$A$5:$B$24,2,FALSE),0))</f>
        <v/>
      </c>
      <c r="K31" s="50">
        <f>IF(A31="","",IFERROR(I31*VLOOKUP("Taux de charges variables",'Hypothèses'!$A$5:$B$24,2,FALSE),0))</f>
        <v/>
      </c>
      <c r="L31" s="50">
        <f>IF(A31="","",IFERROR(VLOOKUP("Masse salariale annuelle",'Hypothèses'!$A$5:$B$24,2,FALSE)/12,0))</f>
        <v/>
      </c>
      <c r="M31" s="50">
        <f>IF(A31="","",IFERROR(VLOOKUP("Loyer annuel",'Hypothèses'!$A$5:$B$24,2,FALSE)/12,0))</f>
        <v/>
      </c>
      <c r="N31" s="50">
        <f>IF(A31="","",IFERROR(VLOOKUP("Budget marketing annuel",'Hypothèses'!$A$5:$B$24,2,FALSE)/12,0))</f>
        <v/>
      </c>
      <c r="O31" s="50">
        <f>IF(A31="","",IFERROR(VLOOKUP("Autres charges mensuelles",'Hypothèses'!$A$5:$B$24,2,FALSE),0))</f>
        <v/>
      </c>
      <c r="P31" s="50">
        <f>IF(A31="","",IFERROR(I31-SUM(K31:O31),0))</f>
        <v/>
      </c>
      <c r="Q31" s="50">
        <f>IF(A31="","",IFERROR('Investissements'!$K$105/12,0))</f>
        <v/>
      </c>
      <c r="R31" s="50">
        <f>IF(A31="","",IFERROR(P31-Q31,0))</f>
        <v/>
      </c>
      <c r="S31" s="50">
        <f>IF(A31="","",'Hypothèses'!$B$21+SUM($P$5:P31)-SUMIFS('Investissements'!$I$5:$I$104,'Investissements'!$D$5:$D$104,"&lt;="&amp;(A31+32-DAY(A31+32))))</f>
        <v/>
      </c>
      <c r="T31" s="57">
        <f>IF(A31="","",IFERROR(P31/I31,0))</f>
        <v/>
      </c>
      <c r="U31" s="57">
        <f>IF(A31="","",IFERROR(VLOOKUP("Taux d'occupation cible année 1",'Hypothèses'!$A$5:$B$24,2,FALSE),0))</f>
        <v/>
      </c>
    </row>
    <row r="32">
      <c r="A32" s="47" t="n"/>
      <c r="B32" s="55" t="n"/>
      <c r="C32" s="58">
        <f>IF(A32="","",IFERROR((VLOOKUP("Nombre de terrains indoor",'Hypothèses'!$A$5:$B$24,2,FALSE)+VLOOKUP("Nombre de terrains outdoor",'Hypothèses'!$A$5:$B$24,2,FALSE))*VLOOKUP("Heures d'ouverture par terrain / mois",'Hypothèses'!$A$5:$B$24,2,FALSE),0))</f>
        <v/>
      </c>
      <c r="D32" s="58">
        <f>IF(A32="","",IFERROR(C32*B32,0))</f>
        <v/>
      </c>
      <c r="E32" s="52">
        <f>IF(A32="","",IFERROR(D32*VLOOKUP("Prix moyen réservation terrain",'Hypothèses'!$A$5:$B$24,2,FALSE),0))</f>
        <v/>
      </c>
      <c r="F32" s="52">
        <f>IF(A32="","",IFERROR(VLOOKUP("Nombre d'abonnés année 1",'Hypothèses'!$A$5:$B$24,2,FALSE)*VLOOKUP("Abonnement mensuel moyen",'Hypothèses'!$A$5:$B$24,2,FALSE),0))</f>
        <v/>
      </c>
      <c r="G32" s="52">
        <f>IF(A32="","",IFERROR(E32*VLOOKUP("Taux de CA coaching / stages",'Hypothèses'!$A$5:$B$24,2,FALSE),0))</f>
        <v/>
      </c>
      <c r="H32" s="52">
        <f>IF(A32="","",IFERROR(D32*VLOOKUP("Panier moyen bar / boutique",'Hypothèses'!$A$5:$B$24,2,FALSE),0))</f>
        <v/>
      </c>
      <c r="I32" s="52">
        <f>IF(A32="","",SUM(E32:H32))</f>
        <v/>
      </c>
      <c r="J32" s="52">
        <f>IF(A32="","",IFERROR(I32*VLOOKUP("Taux de TVA principal",'Hypothèses'!$A$5:$B$24,2,FALSE),0))</f>
        <v/>
      </c>
      <c r="K32" s="52">
        <f>IF(A32="","",IFERROR(I32*VLOOKUP("Taux de charges variables",'Hypothèses'!$A$5:$B$24,2,FALSE),0))</f>
        <v/>
      </c>
      <c r="L32" s="52">
        <f>IF(A32="","",IFERROR(VLOOKUP("Masse salariale annuelle",'Hypothèses'!$A$5:$B$24,2,FALSE)/12,0))</f>
        <v/>
      </c>
      <c r="M32" s="52">
        <f>IF(A32="","",IFERROR(VLOOKUP("Loyer annuel",'Hypothèses'!$A$5:$B$24,2,FALSE)/12,0))</f>
        <v/>
      </c>
      <c r="N32" s="52">
        <f>IF(A32="","",IFERROR(VLOOKUP("Budget marketing annuel",'Hypothèses'!$A$5:$B$24,2,FALSE)/12,0))</f>
        <v/>
      </c>
      <c r="O32" s="52">
        <f>IF(A32="","",IFERROR(VLOOKUP("Autres charges mensuelles",'Hypothèses'!$A$5:$B$24,2,FALSE),0))</f>
        <v/>
      </c>
      <c r="P32" s="52">
        <f>IF(A32="","",IFERROR(I32-SUM(K32:O32),0))</f>
        <v/>
      </c>
      <c r="Q32" s="52">
        <f>IF(A32="","",IFERROR('Investissements'!$K$105/12,0))</f>
        <v/>
      </c>
      <c r="R32" s="52">
        <f>IF(A32="","",IFERROR(P32-Q32,0))</f>
        <v/>
      </c>
      <c r="S32" s="52">
        <f>IF(A32="","",'Hypothèses'!$B$21+SUM($P$5:P32)-SUMIFS('Investissements'!$I$5:$I$104,'Investissements'!$D$5:$D$104,"&lt;="&amp;(A32+32-DAY(A32+32))))</f>
        <v/>
      </c>
      <c r="T32" s="59">
        <f>IF(A32="","",IFERROR(P32/I32,0))</f>
        <v/>
      </c>
      <c r="U32" s="59">
        <f>IF(A32="","",IFERROR(VLOOKUP("Taux d'occupation cible année 1",'Hypothèses'!$A$5:$B$24,2,FALSE),0))</f>
        <v/>
      </c>
    </row>
    <row r="33">
      <c r="A33" s="47" t="n"/>
      <c r="B33" s="55" t="n"/>
      <c r="C33" s="56">
        <f>IF(A33="","",IFERROR((VLOOKUP("Nombre de terrains indoor",'Hypothèses'!$A$5:$B$24,2,FALSE)+VLOOKUP("Nombre de terrains outdoor",'Hypothèses'!$A$5:$B$24,2,FALSE))*VLOOKUP("Heures d'ouverture par terrain / mois",'Hypothèses'!$A$5:$B$24,2,FALSE),0))</f>
        <v/>
      </c>
      <c r="D33" s="56">
        <f>IF(A33="","",IFERROR(C33*B33,0))</f>
        <v/>
      </c>
      <c r="E33" s="50">
        <f>IF(A33="","",IFERROR(D33*VLOOKUP("Prix moyen réservation terrain",'Hypothèses'!$A$5:$B$24,2,FALSE),0))</f>
        <v/>
      </c>
      <c r="F33" s="50">
        <f>IF(A33="","",IFERROR(VLOOKUP("Nombre d'abonnés année 1",'Hypothèses'!$A$5:$B$24,2,FALSE)*VLOOKUP("Abonnement mensuel moyen",'Hypothèses'!$A$5:$B$24,2,FALSE),0))</f>
        <v/>
      </c>
      <c r="G33" s="50">
        <f>IF(A33="","",IFERROR(E33*VLOOKUP("Taux de CA coaching / stages",'Hypothèses'!$A$5:$B$24,2,FALSE),0))</f>
        <v/>
      </c>
      <c r="H33" s="50">
        <f>IF(A33="","",IFERROR(D33*VLOOKUP("Panier moyen bar / boutique",'Hypothèses'!$A$5:$B$24,2,FALSE),0))</f>
        <v/>
      </c>
      <c r="I33" s="50">
        <f>IF(A33="","",SUM(E33:H33))</f>
        <v/>
      </c>
      <c r="J33" s="50">
        <f>IF(A33="","",IFERROR(I33*VLOOKUP("Taux de TVA principal",'Hypothèses'!$A$5:$B$24,2,FALSE),0))</f>
        <v/>
      </c>
      <c r="K33" s="50">
        <f>IF(A33="","",IFERROR(I33*VLOOKUP("Taux de charges variables",'Hypothèses'!$A$5:$B$24,2,FALSE),0))</f>
        <v/>
      </c>
      <c r="L33" s="50">
        <f>IF(A33="","",IFERROR(VLOOKUP("Masse salariale annuelle",'Hypothèses'!$A$5:$B$24,2,FALSE)/12,0))</f>
        <v/>
      </c>
      <c r="M33" s="50">
        <f>IF(A33="","",IFERROR(VLOOKUP("Loyer annuel",'Hypothèses'!$A$5:$B$24,2,FALSE)/12,0))</f>
        <v/>
      </c>
      <c r="N33" s="50">
        <f>IF(A33="","",IFERROR(VLOOKUP("Budget marketing annuel",'Hypothèses'!$A$5:$B$24,2,FALSE)/12,0))</f>
        <v/>
      </c>
      <c r="O33" s="50">
        <f>IF(A33="","",IFERROR(VLOOKUP("Autres charges mensuelles",'Hypothèses'!$A$5:$B$24,2,FALSE),0))</f>
        <v/>
      </c>
      <c r="P33" s="50">
        <f>IF(A33="","",IFERROR(I33-SUM(K33:O33),0))</f>
        <v/>
      </c>
      <c r="Q33" s="50">
        <f>IF(A33="","",IFERROR('Investissements'!$K$105/12,0))</f>
        <v/>
      </c>
      <c r="R33" s="50">
        <f>IF(A33="","",IFERROR(P33-Q33,0))</f>
        <v/>
      </c>
      <c r="S33" s="50">
        <f>IF(A33="","",'Hypothèses'!$B$21+SUM($P$5:P33)-SUMIFS('Investissements'!$I$5:$I$104,'Investissements'!$D$5:$D$104,"&lt;="&amp;(A33+32-DAY(A33+32))))</f>
        <v/>
      </c>
      <c r="T33" s="57">
        <f>IF(A33="","",IFERROR(P33/I33,0))</f>
        <v/>
      </c>
      <c r="U33" s="57">
        <f>IF(A33="","",IFERROR(VLOOKUP("Taux d'occupation cible année 1",'Hypothèses'!$A$5:$B$24,2,FALSE),0))</f>
        <v/>
      </c>
    </row>
    <row r="34">
      <c r="A34" s="47" t="n"/>
      <c r="B34" s="55" t="n"/>
      <c r="C34" s="58">
        <f>IF(A34="","",IFERROR((VLOOKUP("Nombre de terrains indoor",'Hypothèses'!$A$5:$B$24,2,FALSE)+VLOOKUP("Nombre de terrains outdoor",'Hypothèses'!$A$5:$B$24,2,FALSE))*VLOOKUP("Heures d'ouverture par terrain / mois",'Hypothèses'!$A$5:$B$24,2,FALSE),0))</f>
        <v/>
      </c>
      <c r="D34" s="58">
        <f>IF(A34="","",IFERROR(C34*B34,0))</f>
        <v/>
      </c>
      <c r="E34" s="52">
        <f>IF(A34="","",IFERROR(D34*VLOOKUP("Prix moyen réservation terrain",'Hypothèses'!$A$5:$B$24,2,FALSE),0))</f>
        <v/>
      </c>
      <c r="F34" s="52">
        <f>IF(A34="","",IFERROR(VLOOKUP("Nombre d'abonnés année 1",'Hypothèses'!$A$5:$B$24,2,FALSE)*VLOOKUP("Abonnement mensuel moyen",'Hypothèses'!$A$5:$B$24,2,FALSE),0))</f>
        <v/>
      </c>
      <c r="G34" s="52">
        <f>IF(A34="","",IFERROR(E34*VLOOKUP("Taux de CA coaching / stages",'Hypothèses'!$A$5:$B$24,2,FALSE),0))</f>
        <v/>
      </c>
      <c r="H34" s="52">
        <f>IF(A34="","",IFERROR(D34*VLOOKUP("Panier moyen bar / boutique",'Hypothèses'!$A$5:$B$24,2,FALSE),0))</f>
        <v/>
      </c>
      <c r="I34" s="52">
        <f>IF(A34="","",SUM(E34:H34))</f>
        <v/>
      </c>
      <c r="J34" s="52">
        <f>IF(A34="","",IFERROR(I34*VLOOKUP("Taux de TVA principal",'Hypothèses'!$A$5:$B$24,2,FALSE),0))</f>
        <v/>
      </c>
      <c r="K34" s="52">
        <f>IF(A34="","",IFERROR(I34*VLOOKUP("Taux de charges variables",'Hypothèses'!$A$5:$B$24,2,FALSE),0))</f>
        <v/>
      </c>
      <c r="L34" s="52">
        <f>IF(A34="","",IFERROR(VLOOKUP("Masse salariale annuelle",'Hypothèses'!$A$5:$B$24,2,FALSE)/12,0))</f>
        <v/>
      </c>
      <c r="M34" s="52">
        <f>IF(A34="","",IFERROR(VLOOKUP("Loyer annuel",'Hypothèses'!$A$5:$B$24,2,FALSE)/12,0))</f>
        <v/>
      </c>
      <c r="N34" s="52">
        <f>IF(A34="","",IFERROR(VLOOKUP("Budget marketing annuel",'Hypothèses'!$A$5:$B$24,2,FALSE)/12,0))</f>
        <v/>
      </c>
      <c r="O34" s="52">
        <f>IF(A34="","",IFERROR(VLOOKUP("Autres charges mensuelles",'Hypothèses'!$A$5:$B$24,2,FALSE),0))</f>
        <v/>
      </c>
      <c r="P34" s="52">
        <f>IF(A34="","",IFERROR(I34-SUM(K34:O34),0))</f>
        <v/>
      </c>
      <c r="Q34" s="52">
        <f>IF(A34="","",IFERROR('Investissements'!$K$105/12,0))</f>
        <v/>
      </c>
      <c r="R34" s="52">
        <f>IF(A34="","",IFERROR(P34-Q34,0))</f>
        <v/>
      </c>
      <c r="S34" s="52">
        <f>IF(A34="","",'Hypothèses'!$B$21+SUM($P$5:P34)-SUMIFS('Investissements'!$I$5:$I$104,'Investissements'!$D$5:$D$104,"&lt;="&amp;(A34+32-DAY(A34+32))))</f>
        <v/>
      </c>
      <c r="T34" s="59">
        <f>IF(A34="","",IFERROR(P34/I34,0))</f>
        <v/>
      </c>
      <c r="U34" s="59">
        <f>IF(A34="","",IFERROR(VLOOKUP("Taux d'occupation cible année 1",'Hypothèses'!$A$5:$B$24,2,FALSE),0))</f>
        <v/>
      </c>
    </row>
    <row r="35">
      <c r="A35" s="47" t="n"/>
      <c r="B35" s="55" t="n"/>
      <c r="C35" s="56">
        <f>IF(A35="","",IFERROR((VLOOKUP("Nombre de terrains indoor",'Hypothèses'!$A$5:$B$24,2,FALSE)+VLOOKUP("Nombre de terrains outdoor",'Hypothèses'!$A$5:$B$24,2,FALSE))*VLOOKUP("Heures d'ouverture par terrain / mois",'Hypothèses'!$A$5:$B$24,2,FALSE),0))</f>
        <v/>
      </c>
      <c r="D35" s="56">
        <f>IF(A35="","",IFERROR(C35*B35,0))</f>
        <v/>
      </c>
      <c r="E35" s="50">
        <f>IF(A35="","",IFERROR(D35*VLOOKUP("Prix moyen réservation terrain",'Hypothèses'!$A$5:$B$24,2,FALSE),0))</f>
        <v/>
      </c>
      <c r="F35" s="50">
        <f>IF(A35="","",IFERROR(VLOOKUP("Nombre d'abonnés année 1",'Hypothèses'!$A$5:$B$24,2,FALSE)*VLOOKUP("Abonnement mensuel moyen",'Hypothèses'!$A$5:$B$24,2,FALSE),0))</f>
        <v/>
      </c>
      <c r="G35" s="50">
        <f>IF(A35="","",IFERROR(E35*VLOOKUP("Taux de CA coaching / stages",'Hypothèses'!$A$5:$B$24,2,FALSE),0))</f>
        <v/>
      </c>
      <c r="H35" s="50">
        <f>IF(A35="","",IFERROR(D35*VLOOKUP("Panier moyen bar / boutique",'Hypothèses'!$A$5:$B$24,2,FALSE),0))</f>
        <v/>
      </c>
      <c r="I35" s="50">
        <f>IF(A35="","",SUM(E35:H35))</f>
        <v/>
      </c>
      <c r="J35" s="50">
        <f>IF(A35="","",IFERROR(I35*VLOOKUP("Taux de TVA principal",'Hypothèses'!$A$5:$B$24,2,FALSE),0))</f>
        <v/>
      </c>
      <c r="K35" s="50">
        <f>IF(A35="","",IFERROR(I35*VLOOKUP("Taux de charges variables",'Hypothèses'!$A$5:$B$24,2,FALSE),0))</f>
        <v/>
      </c>
      <c r="L35" s="50">
        <f>IF(A35="","",IFERROR(VLOOKUP("Masse salariale annuelle",'Hypothèses'!$A$5:$B$24,2,FALSE)/12,0))</f>
        <v/>
      </c>
      <c r="M35" s="50">
        <f>IF(A35="","",IFERROR(VLOOKUP("Loyer annuel",'Hypothèses'!$A$5:$B$24,2,FALSE)/12,0))</f>
        <v/>
      </c>
      <c r="N35" s="50">
        <f>IF(A35="","",IFERROR(VLOOKUP("Budget marketing annuel",'Hypothèses'!$A$5:$B$24,2,FALSE)/12,0))</f>
        <v/>
      </c>
      <c r="O35" s="50">
        <f>IF(A35="","",IFERROR(VLOOKUP("Autres charges mensuelles",'Hypothèses'!$A$5:$B$24,2,FALSE),0))</f>
        <v/>
      </c>
      <c r="P35" s="50">
        <f>IF(A35="","",IFERROR(I35-SUM(K35:O35),0))</f>
        <v/>
      </c>
      <c r="Q35" s="50">
        <f>IF(A35="","",IFERROR('Investissements'!$K$105/12,0))</f>
        <v/>
      </c>
      <c r="R35" s="50">
        <f>IF(A35="","",IFERROR(P35-Q35,0))</f>
        <v/>
      </c>
      <c r="S35" s="50">
        <f>IF(A35="","",'Hypothèses'!$B$21+SUM($P$5:P35)-SUMIFS('Investissements'!$I$5:$I$104,'Investissements'!$D$5:$D$104,"&lt;="&amp;(A35+32-DAY(A35+32))))</f>
        <v/>
      </c>
      <c r="T35" s="57">
        <f>IF(A35="","",IFERROR(P35/I35,0))</f>
        <v/>
      </c>
      <c r="U35" s="57">
        <f>IF(A35="","",IFERROR(VLOOKUP("Taux d'occupation cible année 1",'Hypothèses'!$A$5:$B$24,2,FALSE),0))</f>
        <v/>
      </c>
    </row>
    <row r="36">
      <c r="A36" s="47" t="n"/>
      <c r="B36" s="55" t="n"/>
      <c r="C36" s="58">
        <f>IF(A36="","",IFERROR((VLOOKUP("Nombre de terrains indoor",'Hypothèses'!$A$5:$B$24,2,FALSE)+VLOOKUP("Nombre de terrains outdoor",'Hypothèses'!$A$5:$B$24,2,FALSE))*VLOOKUP("Heures d'ouverture par terrain / mois",'Hypothèses'!$A$5:$B$24,2,FALSE),0))</f>
        <v/>
      </c>
      <c r="D36" s="58">
        <f>IF(A36="","",IFERROR(C36*B36,0))</f>
        <v/>
      </c>
      <c r="E36" s="52">
        <f>IF(A36="","",IFERROR(D36*VLOOKUP("Prix moyen réservation terrain",'Hypothèses'!$A$5:$B$24,2,FALSE),0))</f>
        <v/>
      </c>
      <c r="F36" s="52">
        <f>IF(A36="","",IFERROR(VLOOKUP("Nombre d'abonnés année 1",'Hypothèses'!$A$5:$B$24,2,FALSE)*VLOOKUP("Abonnement mensuel moyen",'Hypothèses'!$A$5:$B$24,2,FALSE),0))</f>
        <v/>
      </c>
      <c r="G36" s="52">
        <f>IF(A36="","",IFERROR(E36*VLOOKUP("Taux de CA coaching / stages",'Hypothèses'!$A$5:$B$24,2,FALSE),0))</f>
        <v/>
      </c>
      <c r="H36" s="52">
        <f>IF(A36="","",IFERROR(D36*VLOOKUP("Panier moyen bar / boutique",'Hypothèses'!$A$5:$B$24,2,FALSE),0))</f>
        <v/>
      </c>
      <c r="I36" s="52">
        <f>IF(A36="","",SUM(E36:H36))</f>
        <v/>
      </c>
      <c r="J36" s="52">
        <f>IF(A36="","",IFERROR(I36*VLOOKUP("Taux de TVA principal",'Hypothèses'!$A$5:$B$24,2,FALSE),0))</f>
        <v/>
      </c>
      <c r="K36" s="52">
        <f>IF(A36="","",IFERROR(I36*VLOOKUP("Taux de charges variables",'Hypothèses'!$A$5:$B$24,2,FALSE),0))</f>
        <v/>
      </c>
      <c r="L36" s="52">
        <f>IF(A36="","",IFERROR(VLOOKUP("Masse salariale annuelle",'Hypothèses'!$A$5:$B$24,2,FALSE)/12,0))</f>
        <v/>
      </c>
      <c r="M36" s="52">
        <f>IF(A36="","",IFERROR(VLOOKUP("Loyer annuel",'Hypothèses'!$A$5:$B$24,2,FALSE)/12,0))</f>
        <v/>
      </c>
      <c r="N36" s="52">
        <f>IF(A36="","",IFERROR(VLOOKUP("Budget marketing annuel",'Hypothèses'!$A$5:$B$24,2,FALSE)/12,0))</f>
        <v/>
      </c>
      <c r="O36" s="52">
        <f>IF(A36="","",IFERROR(VLOOKUP("Autres charges mensuelles",'Hypothèses'!$A$5:$B$24,2,FALSE),0))</f>
        <v/>
      </c>
      <c r="P36" s="52">
        <f>IF(A36="","",IFERROR(I36-SUM(K36:O36),0))</f>
        <v/>
      </c>
      <c r="Q36" s="52">
        <f>IF(A36="","",IFERROR('Investissements'!$K$105/12,0))</f>
        <v/>
      </c>
      <c r="R36" s="52">
        <f>IF(A36="","",IFERROR(P36-Q36,0))</f>
        <v/>
      </c>
      <c r="S36" s="52">
        <f>IF(A36="","",'Hypothèses'!$B$21+SUM($P$5:P36)-SUMIFS('Investissements'!$I$5:$I$104,'Investissements'!$D$5:$D$104,"&lt;="&amp;(A36+32-DAY(A36+32))))</f>
        <v/>
      </c>
      <c r="T36" s="59">
        <f>IF(A36="","",IFERROR(P36/I36,0))</f>
        <v/>
      </c>
      <c r="U36" s="59">
        <f>IF(A36="","",IFERROR(VLOOKUP("Taux d'occupation cible année 1",'Hypothèses'!$A$5:$B$24,2,FALSE),0))</f>
        <v/>
      </c>
    </row>
    <row r="37">
      <c r="A37" s="47" t="n"/>
      <c r="B37" s="55" t="n"/>
      <c r="C37" s="56">
        <f>IF(A37="","",IFERROR((VLOOKUP("Nombre de terrains indoor",'Hypothèses'!$A$5:$B$24,2,FALSE)+VLOOKUP("Nombre de terrains outdoor",'Hypothèses'!$A$5:$B$24,2,FALSE))*VLOOKUP("Heures d'ouverture par terrain / mois",'Hypothèses'!$A$5:$B$24,2,FALSE),0))</f>
        <v/>
      </c>
      <c r="D37" s="56">
        <f>IF(A37="","",IFERROR(C37*B37,0))</f>
        <v/>
      </c>
      <c r="E37" s="50">
        <f>IF(A37="","",IFERROR(D37*VLOOKUP("Prix moyen réservation terrain",'Hypothèses'!$A$5:$B$24,2,FALSE),0))</f>
        <v/>
      </c>
      <c r="F37" s="50">
        <f>IF(A37="","",IFERROR(VLOOKUP("Nombre d'abonnés année 1",'Hypothèses'!$A$5:$B$24,2,FALSE)*VLOOKUP("Abonnement mensuel moyen",'Hypothèses'!$A$5:$B$24,2,FALSE),0))</f>
        <v/>
      </c>
      <c r="G37" s="50">
        <f>IF(A37="","",IFERROR(E37*VLOOKUP("Taux de CA coaching / stages",'Hypothèses'!$A$5:$B$24,2,FALSE),0))</f>
        <v/>
      </c>
      <c r="H37" s="50">
        <f>IF(A37="","",IFERROR(D37*VLOOKUP("Panier moyen bar / boutique",'Hypothèses'!$A$5:$B$24,2,FALSE),0))</f>
        <v/>
      </c>
      <c r="I37" s="50">
        <f>IF(A37="","",SUM(E37:H37))</f>
        <v/>
      </c>
      <c r="J37" s="50">
        <f>IF(A37="","",IFERROR(I37*VLOOKUP("Taux de TVA principal",'Hypothèses'!$A$5:$B$24,2,FALSE),0))</f>
        <v/>
      </c>
      <c r="K37" s="50">
        <f>IF(A37="","",IFERROR(I37*VLOOKUP("Taux de charges variables",'Hypothèses'!$A$5:$B$24,2,FALSE),0))</f>
        <v/>
      </c>
      <c r="L37" s="50">
        <f>IF(A37="","",IFERROR(VLOOKUP("Masse salariale annuelle",'Hypothèses'!$A$5:$B$24,2,FALSE)/12,0))</f>
        <v/>
      </c>
      <c r="M37" s="50">
        <f>IF(A37="","",IFERROR(VLOOKUP("Loyer annuel",'Hypothèses'!$A$5:$B$24,2,FALSE)/12,0))</f>
        <v/>
      </c>
      <c r="N37" s="50">
        <f>IF(A37="","",IFERROR(VLOOKUP("Budget marketing annuel",'Hypothèses'!$A$5:$B$24,2,FALSE)/12,0))</f>
        <v/>
      </c>
      <c r="O37" s="50">
        <f>IF(A37="","",IFERROR(VLOOKUP("Autres charges mensuelles",'Hypothèses'!$A$5:$B$24,2,FALSE),0))</f>
        <v/>
      </c>
      <c r="P37" s="50">
        <f>IF(A37="","",IFERROR(I37-SUM(K37:O37),0))</f>
        <v/>
      </c>
      <c r="Q37" s="50">
        <f>IF(A37="","",IFERROR('Investissements'!$K$105/12,0))</f>
        <v/>
      </c>
      <c r="R37" s="50">
        <f>IF(A37="","",IFERROR(P37-Q37,0))</f>
        <v/>
      </c>
      <c r="S37" s="50">
        <f>IF(A37="","",'Hypothèses'!$B$21+SUM($P$5:P37)-SUMIFS('Investissements'!$I$5:$I$104,'Investissements'!$D$5:$D$104,"&lt;="&amp;(A37+32-DAY(A37+32))))</f>
        <v/>
      </c>
      <c r="T37" s="57">
        <f>IF(A37="","",IFERROR(P37/I37,0))</f>
        <v/>
      </c>
      <c r="U37" s="57">
        <f>IF(A37="","",IFERROR(VLOOKUP("Taux d'occupation cible année 1",'Hypothèses'!$A$5:$B$24,2,FALSE),0))</f>
        <v/>
      </c>
    </row>
    <row r="38">
      <c r="A38" s="47" t="n"/>
      <c r="B38" s="55" t="n"/>
      <c r="C38" s="58">
        <f>IF(A38="","",IFERROR((VLOOKUP("Nombre de terrains indoor",'Hypothèses'!$A$5:$B$24,2,FALSE)+VLOOKUP("Nombre de terrains outdoor",'Hypothèses'!$A$5:$B$24,2,FALSE))*VLOOKUP("Heures d'ouverture par terrain / mois",'Hypothèses'!$A$5:$B$24,2,FALSE),0))</f>
        <v/>
      </c>
      <c r="D38" s="58">
        <f>IF(A38="","",IFERROR(C38*B38,0))</f>
        <v/>
      </c>
      <c r="E38" s="52">
        <f>IF(A38="","",IFERROR(D38*VLOOKUP("Prix moyen réservation terrain",'Hypothèses'!$A$5:$B$24,2,FALSE),0))</f>
        <v/>
      </c>
      <c r="F38" s="52">
        <f>IF(A38="","",IFERROR(VLOOKUP("Nombre d'abonnés année 1",'Hypothèses'!$A$5:$B$24,2,FALSE)*VLOOKUP("Abonnement mensuel moyen",'Hypothèses'!$A$5:$B$24,2,FALSE),0))</f>
        <v/>
      </c>
      <c r="G38" s="52">
        <f>IF(A38="","",IFERROR(E38*VLOOKUP("Taux de CA coaching / stages",'Hypothèses'!$A$5:$B$24,2,FALSE),0))</f>
        <v/>
      </c>
      <c r="H38" s="52">
        <f>IF(A38="","",IFERROR(D38*VLOOKUP("Panier moyen bar / boutique",'Hypothèses'!$A$5:$B$24,2,FALSE),0))</f>
        <v/>
      </c>
      <c r="I38" s="52">
        <f>IF(A38="","",SUM(E38:H38))</f>
        <v/>
      </c>
      <c r="J38" s="52">
        <f>IF(A38="","",IFERROR(I38*VLOOKUP("Taux de TVA principal",'Hypothèses'!$A$5:$B$24,2,FALSE),0))</f>
        <v/>
      </c>
      <c r="K38" s="52">
        <f>IF(A38="","",IFERROR(I38*VLOOKUP("Taux de charges variables",'Hypothèses'!$A$5:$B$24,2,FALSE),0))</f>
        <v/>
      </c>
      <c r="L38" s="52">
        <f>IF(A38="","",IFERROR(VLOOKUP("Masse salariale annuelle",'Hypothèses'!$A$5:$B$24,2,FALSE)/12,0))</f>
        <v/>
      </c>
      <c r="M38" s="52">
        <f>IF(A38="","",IFERROR(VLOOKUP("Loyer annuel",'Hypothèses'!$A$5:$B$24,2,FALSE)/12,0))</f>
        <v/>
      </c>
      <c r="N38" s="52">
        <f>IF(A38="","",IFERROR(VLOOKUP("Budget marketing annuel",'Hypothèses'!$A$5:$B$24,2,FALSE)/12,0))</f>
        <v/>
      </c>
      <c r="O38" s="52">
        <f>IF(A38="","",IFERROR(VLOOKUP("Autres charges mensuelles",'Hypothèses'!$A$5:$B$24,2,FALSE),0))</f>
        <v/>
      </c>
      <c r="P38" s="52">
        <f>IF(A38="","",IFERROR(I38-SUM(K38:O38),0))</f>
        <v/>
      </c>
      <c r="Q38" s="52">
        <f>IF(A38="","",IFERROR('Investissements'!$K$105/12,0))</f>
        <v/>
      </c>
      <c r="R38" s="52">
        <f>IF(A38="","",IFERROR(P38-Q38,0))</f>
        <v/>
      </c>
      <c r="S38" s="52">
        <f>IF(A38="","",'Hypothèses'!$B$21+SUM($P$5:P38)-SUMIFS('Investissements'!$I$5:$I$104,'Investissements'!$D$5:$D$104,"&lt;="&amp;(A38+32-DAY(A38+32))))</f>
        <v/>
      </c>
      <c r="T38" s="59">
        <f>IF(A38="","",IFERROR(P38/I38,0))</f>
        <v/>
      </c>
      <c r="U38" s="59">
        <f>IF(A38="","",IFERROR(VLOOKUP("Taux d'occupation cible année 1",'Hypothèses'!$A$5:$B$24,2,FALSE),0))</f>
        <v/>
      </c>
    </row>
    <row r="39">
      <c r="A39" s="47" t="n"/>
      <c r="B39" s="55" t="n"/>
      <c r="C39" s="56">
        <f>IF(A39="","",IFERROR((VLOOKUP("Nombre de terrains indoor",'Hypothèses'!$A$5:$B$24,2,FALSE)+VLOOKUP("Nombre de terrains outdoor",'Hypothèses'!$A$5:$B$24,2,FALSE))*VLOOKUP("Heures d'ouverture par terrain / mois",'Hypothèses'!$A$5:$B$24,2,FALSE),0))</f>
        <v/>
      </c>
      <c r="D39" s="56">
        <f>IF(A39="","",IFERROR(C39*B39,0))</f>
        <v/>
      </c>
      <c r="E39" s="50">
        <f>IF(A39="","",IFERROR(D39*VLOOKUP("Prix moyen réservation terrain",'Hypothèses'!$A$5:$B$24,2,FALSE),0))</f>
        <v/>
      </c>
      <c r="F39" s="50">
        <f>IF(A39="","",IFERROR(VLOOKUP("Nombre d'abonnés année 1",'Hypothèses'!$A$5:$B$24,2,FALSE)*VLOOKUP("Abonnement mensuel moyen",'Hypothèses'!$A$5:$B$24,2,FALSE),0))</f>
        <v/>
      </c>
      <c r="G39" s="50">
        <f>IF(A39="","",IFERROR(E39*VLOOKUP("Taux de CA coaching / stages",'Hypothèses'!$A$5:$B$24,2,FALSE),0))</f>
        <v/>
      </c>
      <c r="H39" s="50">
        <f>IF(A39="","",IFERROR(D39*VLOOKUP("Panier moyen bar / boutique",'Hypothèses'!$A$5:$B$24,2,FALSE),0))</f>
        <v/>
      </c>
      <c r="I39" s="50">
        <f>IF(A39="","",SUM(E39:H39))</f>
        <v/>
      </c>
      <c r="J39" s="50">
        <f>IF(A39="","",IFERROR(I39*VLOOKUP("Taux de TVA principal",'Hypothèses'!$A$5:$B$24,2,FALSE),0))</f>
        <v/>
      </c>
      <c r="K39" s="50">
        <f>IF(A39="","",IFERROR(I39*VLOOKUP("Taux de charges variables",'Hypothèses'!$A$5:$B$24,2,FALSE),0))</f>
        <v/>
      </c>
      <c r="L39" s="50">
        <f>IF(A39="","",IFERROR(VLOOKUP("Masse salariale annuelle",'Hypothèses'!$A$5:$B$24,2,FALSE)/12,0))</f>
        <v/>
      </c>
      <c r="M39" s="50">
        <f>IF(A39="","",IFERROR(VLOOKUP("Loyer annuel",'Hypothèses'!$A$5:$B$24,2,FALSE)/12,0))</f>
        <v/>
      </c>
      <c r="N39" s="50">
        <f>IF(A39="","",IFERROR(VLOOKUP("Budget marketing annuel",'Hypothèses'!$A$5:$B$24,2,FALSE)/12,0))</f>
        <v/>
      </c>
      <c r="O39" s="50">
        <f>IF(A39="","",IFERROR(VLOOKUP("Autres charges mensuelles",'Hypothèses'!$A$5:$B$24,2,FALSE),0))</f>
        <v/>
      </c>
      <c r="P39" s="50">
        <f>IF(A39="","",IFERROR(I39-SUM(K39:O39),0))</f>
        <v/>
      </c>
      <c r="Q39" s="50">
        <f>IF(A39="","",IFERROR('Investissements'!$K$105/12,0))</f>
        <v/>
      </c>
      <c r="R39" s="50">
        <f>IF(A39="","",IFERROR(P39-Q39,0))</f>
        <v/>
      </c>
      <c r="S39" s="50">
        <f>IF(A39="","",'Hypothèses'!$B$21+SUM($P$5:P39)-SUMIFS('Investissements'!$I$5:$I$104,'Investissements'!$D$5:$D$104,"&lt;="&amp;(A39+32-DAY(A39+32))))</f>
        <v/>
      </c>
      <c r="T39" s="57">
        <f>IF(A39="","",IFERROR(P39/I39,0))</f>
        <v/>
      </c>
      <c r="U39" s="57">
        <f>IF(A39="","",IFERROR(VLOOKUP("Taux d'occupation cible année 1",'Hypothèses'!$A$5:$B$24,2,FALSE),0))</f>
        <v/>
      </c>
    </row>
    <row r="40">
      <c r="A40" s="47" t="n"/>
      <c r="B40" s="55" t="n"/>
      <c r="C40" s="58">
        <f>IF(A40="","",IFERROR((VLOOKUP("Nombre de terrains indoor",'Hypothèses'!$A$5:$B$24,2,FALSE)+VLOOKUP("Nombre de terrains outdoor",'Hypothèses'!$A$5:$B$24,2,FALSE))*VLOOKUP("Heures d'ouverture par terrain / mois",'Hypothèses'!$A$5:$B$24,2,FALSE),0))</f>
        <v/>
      </c>
      <c r="D40" s="58">
        <f>IF(A40="","",IFERROR(C40*B40,0))</f>
        <v/>
      </c>
      <c r="E40" s="52">
        <f>IF(A40="","",IFERROR(D40*VLOOKUP("Prix moyen réservation terrain",'Hypothèses'!$A$5:$B$24,2,FALSE),0))</f>
        <v/>
      </c>
      <c r="F40" s="52">
        <f>IF(A40="","",IFERROR(VLOOKUP("Nombre d'abonnés année 1",'Hypothèses'!$A$5:$B$24,2,FALSE)*VLOOKUP("Abonnement mensuel moyen",'Hypothèses'!$A$5:$B$24,2,FALSE),0))</f>
        <v/>
      </c>
      <c r="G40" s="52">
        <f>IF(A40="","",IFERROR(E40*VLOOKUP("Taux de CA coaching / stages",'Hypothèses'!$A$5:$B$24,2,FALSE),0))</f>
        <v/>
      </c>
      <c r="H40" s="52">
        <f>IF(A40="","",IFERROR(D40*VLOOKUP("Panier moyen bar / boutique",'Hypothèses'!$A$5:$B$24,2,FALSE),0))</f>
        <v/>
      </c>
      <c r="I40" s="52">
        <f>IF(A40="","",SUM(E40:H40))</f>
        <v/>
      </c>
      <c r="J40" s="52">
        <f>IF(A40="","",IFERROR(I40*VLOOKUP("Taux de TVA principal",'Hypothèses'!$A$5:$B$24,2,FALSE),0))</f>
        <v/>
      </c>
      <c r="K40" s="52">
        <f>IF(A40="","",IFERROR(I40*VLOOKUP("Taux de charges variables",'Hypothèses'!$A$5:$B$24,2,FALSE),0))</f>
        <v/>
      </c>
      <c r="L40" s="52">
        <f>IF(A40="","",IFERROR(VLOOKUP("Masse salariale annuelle",'Hypothèses'!$A$5:$B$24,2,FALSE)/12,0))</f>
        <v/>
      </c>
      <c r="M40" s="52">
        <f>IF(A40="","",IFERROR(VLOOKUP("Loyer annuel",'Hypothèses'!$A$5:$B$24,2,FALSE)/12,0))</f>
        <v/>
      </c>
      <c r="N40" s="52">
        <f>IF(A40="","",IFERROR(VLOOKUP("Budget marketing annuel",'Hypothèses'!$A$5:$B$24,2,FALSE)/12,0))</f>
        <v/>
      </c>
      <c r="O40" s="52">
        <f>IF(A40="","",IFERROR(VLOOKUP("Autres charges mensuelles",'Hypothèses'!$A$5:$B$24,2,FALSE),0))</f>
        <v/>
      </c>
      <c r="P40" s="52">
        <f>IF(A40="","",IFERROR(I40-SUM(K40:O40),0))</f>
        <v/>
      </c>
      <c r="Q40" s="52">
        <f>IF(A40="","",IFERROR('Investissements'!$K$105/12,0))</f>
        <v/>
      </c>
      <c r="R40" s="52">
        <f>IF(A40="","",IFERROR(P40-Q40,0))</f>
        <v/>
      </c>
      <c r="S40" s="52">
        <f>IF(A40="","",'Hypothèses'!$B$21+SUM($P$5:P40)-SUMIFS('Investissements'!$I$5:$I$104,'Investissements'!$D$5:$D$104,"&lt;="&amp;(A40+32-DAY(A40+32))))</f>
        <v/>
      </c>
      <c r="T40" s="59">
        <f>IF(A40="","",IFERROR(P40/I40,0))</f>
        <v/>
      </c>
      <c r="U40" s="59">
        <f>IF(A40="","",IFERROR(VLOOKUP("Taux d'occupation cible année 1",'Hypothèses'!$A$5:$B$24,2,FALSE),0))</f>
        <v/>
      </c>
    </row>
    <row r="41">
      <c r="A41" s="47" t="n"/>
      <c r="B41" s="55" t="n"/>
      <c r="C41" s="56">
        <f>IF(A41="","",IFERROR((VLOOKUP("Nombre de terrains indoor",'Hypothèses'!$A$5:$B$24,2,FALSE)+VLOOKUP("Nombre de terrains outdoor",'Hypothèses'!$A$5:$B$24,2,FALSE))*VLOOKUP("Heures d'ouverture par terrain / mois",'Hypothèses'!$A$5:$B$24,2,FALSE),0))</f>
        <v/>
      </c>
      <c r="D41" s="56">
        <f>IF(A41="","",IFERROR(C41*B41,0))</f>
        <v/>
      </c>
      <c r="E41" s="50">
        <f>IF(A41="","",IFERROR(D41*VLOOKUP("Prix moyen réservation terrain",'Hypothèses'!$A$5:$B$24,2,FALSE),0))</f>
        <v/>
      </c>
      <c r="F41" s="50">
        <f>IF(A41="","",IFERROR(VLOOKUP("Nombre d'abonnés année 1",'Hypothèses'!$A$5:$B$24,2,FALSE)*VLOOKUP("Abonnement mensuel moyen",'Hypothèses'!$A$5:$B$24,2,FALSE),0))</f>
        <v/>
      </c>
      <c r="G41" s="50">
        <f>IF(A41="","",IFERROR(E41*VLOOKUP("Taux de CA coaching / stages",'Hypothèses'!$A$5:$B$24,2,FALSE),0))</f>
        <v/>
      </c>
      <c r="H41" s="50">
        <f>IF(A41="","",IFERROR(D41*VLOOKUP("Panier moyen bar / boutique",'Hypothèses'!$A$5:$B$24,2,FALSE),0))</f>
        <v/>
      </c>
      <c r="I41" s="50">
        <f>IF(A41="","",SUM(E41:H41))</f>
        <v/>
      </c>
      <c r="J41" s="50">
        <f>IF(A41="","",IFERROR(I41*VLOOKUP("Taux de TVA principal",'Hypothèses'!$A$5:$B$24,2,FALSE),0))</f>
        <v/>
      </c>
      <c r="K41" s="50">
        <f>IF(A41="","",IFERROR(I41*VLOOKUP("Taux de charges variables",'Hypothèses'!$A$5:$B$24,2,FALSE),0))</f>
        <v/>
      </c>
      <c r="L41" s="50">
        <f>IF(A41="","",IFERROR(VLOOKUP("Masse salariale annuelle",'Hypothèses'!$A$5:$B$24,2,FALSE)/12,0))</f>
        <v/>
      </c>
      <c r="M41" s="50">
        <f>IF(A41="","",IFERROR(VLOOKUP("Loyer annuel",'Hypothèses'!$A$5:$B$24,2,FALSE)/12,0))</f>
        <v/>
      </c>
      <c r="N41" s="50">
        <f>IF(A41="","",IFERROR(VLOOKUP("Budget marketing annuel",'Hypothèses'!$A$5:$B$24,2,FALSE)/12,0))</f>
        <v/>
      </c>
      <c r="O41" s="50">
        <f>IF(A41="","",IFERROR(VLOOKUP("Autres charges mensuelles",'Hypothèses'!$A$5:$B$24,2,FALSE),0))</f>
        <v/>
      </c>
      <c r="P41" s="50">
        <f>IF(A41="","",IFERROR(I41-SUM(K41:O41),0))</f>
        <v/>
      </c>
      <c r="Q41" s="50">
        <f>IF(A41="","",IFERROR('Investissements'!$K$105/12,0))</f>
        <v/>
      </c>
      <c r="R41" s="50">
        <f>IF(A41="","",IFERROR(P41-Q41,0))</f>
        <v/>
      </c>
      <c r="S41" s="50">
        <f>IF(A41="","",'Hypothèses'!$B$21+SUM($P$5:P41)-SUMIFS('Investissements'!$I$5:$I$104,'Investissements'!$D$5:$D$104,"&lt;="&amp;(A41+32-DAY(A41+32))))</f>
        <v/>
      </c>
      <c r="T41" s="57">
        <f>IF(A41="","",IFERROR(P41/I41,0))</f>
        <v/>
      </c>
      <c r="U41" s="57">
        <f>IF(A41="","",IFERROR(VLOOKUP("Taux d'occupation cible année 1",'Hypothèses'!$A$5:$B$24,2,FALSE),0))</f>
        <v/>
      </c>
    </row>
    <row r="42">
      <c r="A42" s="47" t="n"/>
      <c r="B42" s="55" t="n"/>
      <c r="C42" s="58">
        <f>IF(A42="","",IFERROR((VLOOKUP("Nombre de terrains indoor",'Hypothèses'!$A$5:$B$24,2,FALSE)+VLOOKUP("Nombre de terrains outdoor",'Hypothèses'!$A$5:$B$24,2,FALSE))*VLOOKUP("Heures d'ouverture par terrain / mois",'Hypothèses'!$A$5:$B$24,2,FALSE),0))</f>
        <v/>
      </c>
      <c r="D42" s="58">
        <f>IF(A42="","",IFERROR(C42*B42,0))</f>
        <v/>
      </c>
      <c r="E42" s="52">
        <f>IF(A42="","",IFERROR(D42*VLOOKUP("Prix moyen réservation terrain",'Hypothèses'!$A$5:$B$24,2,FALSE),0))</f>
        <v/>
      </c>
      <c r="F42" s="52">
        <f>IF(A42="","",IFERROR(VLOOKUP("Nombre d'abonnés année 1",'Hypothèses'!$A$5:$B$24,2,FALSE)*VLOOKUP("Abonnement mensuel moyen",'Hypothèses'!$A$5:$B$24,2,FALSE),0))</f>
        <v/>
      </c>
      <c r="G42" s="52">
        <f>IF(A42="","",IFERROR(E42*VLOOKUP("Taux de CA coaching / stages",'Hypothèses'!$A$5:$B$24,2,FALSE),0))</f>
        <v/>
      </c>
      <c r="H42" s="52">
        <f>IF(A42="","",IFERROR(D42*VLOOKUP("Panier moyen bar / boutique",'Hypothèses'!$A$5:$B$24,2,FALSE),0))</f>
        <v/>
      </c>
      <c r="I42" s="52">
        <f>IF(A42="","",SUM(E42:H42))</f>
        <v/>
      </c>
      <c r="J42" s="52">
        <f>IF(A42="","",IFERROR(I42*VLOOKUP("Taux de TVA principal",'Hypothèses'!$A$5:$B$24,2,FALSE),0))</f>
        <v/>
      </c>
      <c r="K42" s="52">
        <f>IF(A42="","",IFERROR(I42*VLOOKUP("Taux de charges variables",'Hypothèses'!$A$5:$B$24,2,FALSE),0))</f>
        <v/>
      </c>
      <c r="L42" s="52">
        <f>IF(A42="","",IFERROR(VLOOKUP("Masse salariale annuelle",'Hypothèses'!$A$5:$B$24,2,FALSE)/12,0))</f>
        <v/>
      </c>
      <c r="M42" s="52">
        <f>IF(A42="","",IFERROR(VLOOKUP("Loyer annuel",'Hypothèses'!$A$5:$B$24,2,FALSE)/12,0))</f>
        <v/>
      </c>
      <c r="N42" s="52">
        <f>IF(A42="","",IFERROR(VLOOKUP("Budget marketing annuel",'Hypothèses'!$A$5:$B$24,2,FALSE)/12,0))</f>
        <v/>
      </c>
      <c r="O42" s="52">
        <f>IF(A42="","",IFERROR(VLOOKUP("Autres charges mensuelles",'Hypothèses'!$A$5:$B$24,2,FALSE),0))</f>
        <v/>
      </c>
      <c r="P42" s="52">
        <f>IF(A42="","",IFERROR(I42-SUM(K42:O42),0))</f>
        <v/>
      </c>
      <c r="Q42" s="52">
        <f>IF(A42="","",IFERROR('Investissements'!$K$105/12,0))</f>
        <v/>
      </c>
      <c r="R42" s="52">
        <f>IF(A42="","",IFERROR(P42-Q42,0))</f>
        <v/>
      </c>
      <c r="S42" s="52">
        <f>IF(A42="","",'Hypothèses'!$B$21+SUM($P$5:P42)-SUMIFS('Investissements'!$I$5:$I$104,'Investissements'!$D$5:$D$104,"&lt;="&amp;(A42+32-DAY(A42+32))))</f>
        <v/>
      </c>
      <c r="T42" s="59">
        <f>IF(A42="","",IFERROR(P42/I42,0))</f>
        <v/>
      </c>
      <c r="U42" s="59">
        <f>IF(A42="","",IFERROR(VLOOKUP("Taux d'occupation cible année 1",'Hypothèses'!$A$5:$B$24,2,FALSE),0))</f>
        <v/>
      </c>
    </row>
    <row r="43">
      <c r="A43" s="47" t="n"/>
      <c r="B43" s="55" t="n"/>
      <c r="C43" s="56">
        <f>IF(A43="","",IFERROR((VLOOKUP("Nombre de terrains indoor",'Hypothèses'!$A$5:$B$24,2,FALSE)+VLOOKUP("Nombre de terrains outdoor",'Hypothèses'!$A$5:$B$24,2,FALSE))*VLOOKUP("Heures d'ouverture par terrain / mois",'Hypothèses'!$A$5:$B$24,2,FALSE),0))</f>
        <v/>
      </c>
      <c r="D43" s="56">
        <f>IF(A43="","",IFERROR(C43*B43,0))</f>
        <v/>
      </c>
      <c r="E43" s="50">
        <f>IF(A43="","",IFERROR(D43*VLOOKUP("Prix moyen réservation terrain",'Hypothèses'!$A$5:$B$24,2,FALSE),0))</f>
        <v/>
      </c>
      <c r="F43" s="50">
        <f>IF(A43="","",IFERROR(VLOOKUP("Nombre d'abonnés année 1",'Hypothèses'!$A$5:$B$24,2,FALSE)*VLOOKUP("Abonnement mensuel moyen",'Hypothèses'!$A$5:$B$24,2,FALSE),0))</f>
        <v/>
      </c>
      <c r="G43" s="50">
        <f>IF(A43="","",IFERROR(E43*VLOOKUP("Taux de CA coaching / stages",'Hypothèses'!$A$5:$B$24,2,FALSE),0))</f>
        <v/>
      </c>
      <c r="H43" s="50">
        <f>IF(A43="","",IFERROR(D43*VLOOKUP("Panier moyen bar / boutique",'Hypothèses'!$A$5:$B$24,2,FALSE),0))</f>
        <v/>
      </c>
      <c r="I43" s="50">
        <f>IF(A43="","",SUM(E43:H43))</f>
        <v/>
      </c>
      <c r="J43" s="50">
        <f>IF(A43="","",IFERROR(I43*VLOOKUP("Taux de TVA principal",'Hypothèses'!$A$5:$B$24,2,FALSE),0))</f>
        <v/>
      </c>
      <c r="K43" s="50">
        <f>IF(A43="","",IFERROR(I43*VLOOKUP("Taux de charges variables",'Hypothèses'!$A$5:$B$24,2,FALSE),0))</f>
        <v/>
      </c>
      <c r="L43" s="50">
        <f>IF(A43="","",IFERROR(VLOOKUP("Masse salariale annuelle",'Hypothèses'!$A$5:$B$24,2,FALSE)/12,0))</f>
        <v/>
      </c>
      <c r="M43" s="50">
        <f>IF(A43="","",IFERROR(VLOOKUP("Loyer annuel",'Hypothèses'!$A$5:$B$24,2,FALSE)/12,0))</f>
        <v/>
      </c>
      <c r="N43" s="50">
        <f>IF(A43="","",IFERROR(VLOOKUP("Budget marketing annuel",'Hypothèses'!$A$5:$B$24,2,FALSE)/12,0))</f>
        <v/>
      </c>
      <c r="O43" s="50">
        <f>IF(A43="","",IFERROR(VLOOKUP("Autres charges mensuelles",'Hypothèses'!$A$5:$B$24,2,FALSE),0))</f>
        <v/>
      </c>
      <c r="P43" s="50">
        <f>IF(A43="","",IFERROR(I43-SUM(K43:O43),0))</f>
        <v/>
      </c>
      <c r="Q43" s="50">
        <f>IF(A43="","",IFERROR('Investissements'!$K$105/12,0))</f>
        <v/>
      </c>
      <c r="R43" s="50">
        <f>IF(A43="","",IFERROR(P43-Q43,0))</f>
        <v/>
      </c>
      <c r="S43" s="50">
        <f>IF(A43="","",'Hypothèses'!$B$21+SUM($P$5:P43)-SUMIFS('Investissements'!$I$5:$I$104,'Investissements'!$D$5:$D$104,"&lt;="&amp;(A43+32-DAY(A43+32))))</f>
        <v/>
      </c>
      <c r="T43" s="57">
        <f>IF(A43="","",IFERROR(P43/I43,0))</f>
        <v/>
      </c>
      <c r="U43" s="57">
        <f>IF(A43="","",IFERROR(VLOOKUP("Taux d'occupation cible année 1",'Hypothèses'!$A$5:$B$24,2,FALSE),0))</f>
        <v/>
      </c>
    </row>
    <row r="44">
      <c r="A44" s="47" t="n"/>
      <c r="B44" s="55" t="n"/>
      <c r="C44" s="58">
        <f>IF(A44="","",IFERROR((VLOOKUP("Nombre de terrains indoor",'Hypothèses'!$A$5:$B$24,2,FALSE)+VLOOKUP("Nombre de terrains outdoor",'Hypothèses'!$A$5:$B$24,2,FALSE))*VLOOKUP("Heures d'ouverture par terrain / mois",'Hypothèses'!$A$5:$B$24,2,FALSE),0))</f>
        <v/>
      </c>
      <c r="D44" s="58">
        <f>IF(A44="","",IFERROR(C44*B44,0))</f>
        <v/>
      </c>
      <c r="E44" s="52">
        <f>IF(A44="","",IFERROR(D44*VLOOKUP("Prix moyen réservation terrain",'Hypothèses'!$A$5:$B$24,2,FALSE),0))</f>
        <v/>
      </c>
      <c r="F44" s="52">
        <f>IF(A44="","",IFERROR(VLOOKUP("Nombre d'abonnés année 1",'Hypothèses'!$A$5:$B$24,2,FALSE)*VLOOKUP("Abonnement mensuel moyen",'Hypothèses'!$A$5:$B$24,2,FALSE),0))</f>
        <v/>
      </c>
      <c r="G44" s="52">
        <f>IF(A44="","",IFERROR(E44*VLOOKUP("Taux de CA coaching / stages",'Hypothèses'!$A$5:$B$24,2,FALSE),0))</f>
        <v/>
      </c>
      <c r="H44" s="52">
        <f>IF(A44="","",IFERROR(D44*VLOOKUP("Panier moyen bar / boutique",'Hypothèses'!$A$5:$B$24,2,FALSE),0))</f>
        <v/>
      </c>
      <c r="I44" s="52">
        <f>IF(A44="","",SUM(E44:H44))</f>
        <v/>
      </c>
      <c r="J44" s="52">
        <f>IF(A44="","",IFERROR(I44*VLOOKUP("Taux de TVA principal",'Hypothèses'!$A$5:$B$24,2,FALSE),0))</f>
        <v/>
      </c>
      <c r="K44" s="52">
        <f>IF(A44="","",IFERROR(I44*VLOOKUP("Taux de charges variables",'Hypothèses'!$A$5:$B$24,2,FALSE),0))</f>
        <v/>
      </c>
      <c r="L44" s="52">
        <f>IF(A44="","",IFERROR(VLOOKUP("Masse salariale annuelle",'Hypothèses'!$A$5:$B$24,2,FALSE)/12,0))</f>
        <v/>
      </c>
      <c r="M44" s="52">
        <f>IF(A44="","",IFERROR(VLOOKUP("Loyer annuel",'Hypothèses'!$A$5:$B$24,2,FALSE)/12,0))</f>
        <v/>
      </c>
      <c r="N44" s="52">
        <f>IF(A44="","",IFERROR(VLOOKUP("Budget marketing annuel",'Hypothèses'!$A$5:$B$24,2,FALSE)/12,0))</f>
        <v/>
      </c>
      <c r="O44" s="52">
        <f>IF(A44="","",IFERROR(VLOOKUP("Autres charges mensuelles",'Hypothèses'!$A$5:$B$24,2,FALSE),0))</f>
        <v/>
      </c>
      <c r="P44" s="52">
        <f>IF(A44="","",IFERROR(I44-SUM(K44:O44),0))</f>
        <v/>
      </c>
      <c r="Q44" s="52">
        <f>IF(A44="","",IFERROR('Investissements'!$K$105/12,0))</f>
        <v/>
      </c>
      <c r="R44" s="52">
        <f>IF(A44="","",IFERROR(P44-Q44,0))</f>
        <v/>
      </c>
      <c r="S44" s="52">
        <f>IF(A44="","",'Hypothèses'!$B$21+SUM($P$5:P44)-SUMIFS('Investissements'!$I$5:$I$104,'Investissements'!$D$5:$D$104,"&lt;="&amp;(A44+32-DAY(A44+32))))</f>
        <v/>
      </c>
      <c r="T44" s="59">
        <f>IF(A44="","",IFERROR(P44/I44,0))</f>
        <v/>
      </c>
      <c r="U44" s="59">
        <f>IF(A44="","",IFERROR(VLOOKUP("Taux d'occupation cible année 1",'Hypothèses'!$A$5:$B$24,2,FALSE),0))</f>
        <v/>
      </c>
    </row>
    <row r="45">
      <c r="A45" s="47" t="n"/>
      <c r="B45" s="55" t="n"/>
      <c r="C45" s="56">
        <f>IF(A45="","",IFERROR((VLOOKUP("Nombre de terrains indoor",'Hypothèses'!$A$5:$B$24,2,FALSE)+VLOOKUP("Nombre de terrains outdoor",'Hypothèses'!$A$5:$B$24,2,FALSE))*VLOOKUP("Heures d'ouverture par terrain / mois",'Hypothèses'!$A$5:$B$24,2,FALSE),0))</f>
        <v/>
      </c>
      <c r="D45" s="56">
        <f>IF(A45="","",IFERROR(C45*B45,0))</f>
        <v/>
      </c>
      <c r="E45" s="50">
        <f>IF(A45="","",IFERROR(D45*VLOOKUP("Prix moyen réservation terrain",'Hypothèses'!$A$5:$B$24,2,FALSE),0))</f>
        <v/>
      </c>
      <c r="F45" s="50">
        <f>IF(A45="","",IFERROR(VLOOKUP("Nombre d'abonnés année 1",'Hypothèses'!$A$5:$B$24,2,FALSE)*VLOOKUP("Abonnement mensuel moyen",'Hypothèses'!$A$5:$B$24,2,FALSE),0))</f>
        <v/>
      </c>
      <c r="G45" s="50">
        <f>IF(A45="","",IFERROR(E45*VLOOKUP("Taux de CA coaching / stages",'Hypothèses'!$A$5:$B$24,2,FALSE),0))</f>
        <v/>
      </c>
      <c r="H45" s="50">
        <f>IF(A45="","",IFERROR(D45*VLOOKUP("Panier moyen bar / boutique",'Hypothèses'!$A$5:$B$24,2,FALSE),0))</f>
        <v/>
      </c>
      <c r="I45" s="50">
        <f>IF(A45="","",SUM(E45:H45))</f>
        <v/>
      </c>
      <c r="J45" s="50">
        <f>IF(A45="","",IFERROR(I45*VLOOKUP("Taux de TVA principal",'Hypothèses'!$A$5:$B$24,2,FALSE),0))</f>
        <v/>
      </c>
      <c r="K45" s="50">
        <f>IF(A45="","",IFERROR(I45*VLOOKUP("Taux de charges variables",'Hypothèses'!$A$5:$B$24,2,FALSE),0))</f>
        <v/>
      </c>
      <c r="L45" s="50">
        <f>IF(A45="","",IFERROR(VLOOKUP("Masse salariale annuelle",'Hypothèses'!$A$5:$B$24,2,FALSE)/12,0))</f>
        <v/>
      </c>
      <c r="M45" s="50">
        <f>IF(A45="","",IFERROR(VLOOKUP("Loyer annuel",'Hypothèses'!$A$5:$B$24,2,FALSE)/12,0))</f>
        <v/>
      </c>
      <c r="N45" s="50">
        <f>IF(A45="","",IFERROR(VLOOKUP("Budget marketing annuel",'Hypothèses'!$A$5:$B$24,2,FALSE)/12,0))</f>
        <v/>
      </c>
      <c r="O45" s="50">
        <f>IF(A45="","",IFERROR(VLOOKUP("Autres charges mensuelles",'Hypothèses'!$A$5:$B$24,2,FALSE),0))</f>
        <v/>
      </c>
      <c r="P45" s="50">
        <f>IF(A45="","",IFERROR(I45-SUM(K45:O45),0))</f>
        <v/>
      </c>
      <c r="Q45" s="50">
        <f>IF(A45="","",IFERROR('Investissements'!$K$105/12,0))</f>
        <v/>
      </c>
      <c r="R45" s="50">
        <f>IF(A45="","",IFERROR(P45-Q45,0))</f>
        <v/>
      </c>
      <c r="S45" s="50">
        <f>IF(A45="","",'Hypothèses'!$B$21+SUM($P$5:P45)-SUMIFS('Investissements'!$I$5:$I$104,'Investissements'!$D$5:$D$104,"&lt;="&amp;(A45+32-DAY(A45+32))))</f>
        <v/>
      </c>
      <c r="T45" s="57">
        <f>IF(A45="","",IFERROR(P45/I45,0))</f>
        <v/>
      </c>
      <c r="U45" s="57">
        <f>IF(A45="","",IFERROR(VLOOKUP("Taux d'occupation cible année 1",'Hypothèses'!$A$5:$B$24,2,FALSE),0))</f>
        <v/>
      </c>
    </row>
    <row r="46">
      <c r="A46" s="47" t="n"/>
      <c r="B46" s="55" t="n"/>
      <c r="C46" s="58">
        <f>IF(A46="","",IFERROR((VLOOKUP("Nombre de terrains indoor",'Hypothèses'!$A$5:$B$24,2,FALSE)+VLOOKUP("Nombre de terrains outdoor",'Hypothèses'!$A$5:$B$24,2,FALSE))*VLOOKUP("Heures d'ouverture par terrain / mois",'Hypothèses'!$A$5:$B$24,2,FALSE),0))</f>
        <v/>
      </c>
      <c r="D46" s="58">
        <f>IF(A46="","",IFERROR(C46*B46,0))</f>
        <v/>
      </c>
      <c r="E46" s="52">
        <f>IF(A46="","",IFERROR(D46*VLOOKUP("Prix moyen réservation terrain",'Hypothèses'!$A$5:$B$24,2,FALSE),0))</f>
        <v/>
      </c>
      <c r="F46" s="52">
        <f>IF(A46="","",IFERROR(VLOOKUP("Nombre d'abonnés année 1",'Hypothèses'!$A$5:$B$24,2,FALSE)*VLOOKUP("Abonnement mensuel moyen",'Hypothèses'!$A$5:$B$24,2,FALSE),0))</f>
        <v/>
      </c>
      <c r="G46" s="52">
        <f>IF(A46="","",IFERROR(E46*VLOOKUP("Taux de CA coaching / stages",'Hypothèses'!$A$5:$B$24,2,FALSE),0))</f>
        <v/>
      </c>
      <c r="H46" s="52">
        <f>IF(A46="","",IFERROR(D46*VLOOKUP("Panier moyen bar / boutique",'Hypothèses'!$A$5:$B$24,2,FALSE),0))</f>
        <v/>
      </c>
      <c r="I46" s="52">
        <f>IF(A46="","",SUM(E46:H46))</f>
        <v/>
      </c>
      <c r="J46" s="52">
        <f>IF(A46="","",IFERROR(I46*VLOOKUP("Taux de TVA principal",'Hypothèses'!$A$5:$B$24,2,FALSE),0))</f>
        <v/>
      </c>
      <c r="K46" s="52">
        <f>IF(A46="","",IFERROR(I46*VLOOKUP("Taux de charges variables",'Hypothèses'!$A$5:$B$24,2,FALSE),0))</f>
        <v/>
      </c>
      <c r="L46" s="52">
        <f>IF(A46="","",IFERROR(VLOOKUP("Masse salariale annuelle",'Hypothèses'!$A$5:$B$24,2,FALSE)/12,0))</f>
        <v/>
      </c>
      <c r="M46" s="52">
        <f>IF(A46="","",IFERROR(VLOOKUP("Loyer annuel",'Hypothèses'!$A$5:$B$24,2,FALSE)/12,0))</f>
        <v/>
      </c>
      <c r="N46" s="52">
        <f>IF(A46="","",IFERROR(VLOOKUP("Budget marketing annuel",'Hypothèses'!$A$5:$B$24,2,FALSE)/12,0))</f>
        <v/>
      </c>
      <c r="O46" s="52">
        <f>IF(A46="","",IFERROR(VLOOKUP("Autres charges mensuelles",'Hypothèses'!$A$5:$B$24,2,FALSE),0))</f>
        <v/>
      </c>
      <c r="P46" s="52">
        <f>IF(A46="","",IFERROR(I46-SUM(K46:O46),0))</f>
        <v/>
      </c>
      <c r="Q46" s="52">
        <f>IF(A46="","",IFERROR('Investissements'!$K$105/12,0))</f>
        <v/>
      </c>
      <c r="R46" s="52">
        <f>IF(A46="","",IFERROR(P46-Q46,0))</f>
        <v/>
      </c>
      <c r="S46" s="52">
        <f>IF(A46="","",'Hypothèses'!$B$21+SUM($P$5:P46)-SUMIFS('Investissements'!$I$5:$I$104,'Investissements'!$D$5:$D$104,"&lt;="&amp;(A46+32-DAY(A46+32))))</f>
        <v/>
      </c>
      <c r="T46" s="59">
        <f>IF(A46="","",IFERROR(P46/I46,0))</f>
        <v/>
      </c>
      <c r="U46" s="59">
        <f>IF(A46="","",IFERROR(VLOOKUP("Taux d'occupation cible année 1",'Hypothèses'!$A$5:$B$24,2,FALSE),0))</f>
        <v/>
      </c>
    </row>
    <row r="47">
      <c r="A47" s="47" t="n"/>
      <c r="B47" s="55" t="n"/>
      <c r="C47" s="56">
        <f>IF(A47="","",IFERROR((VLOOKUP("Nombre de terrains indoor",'Hypothèses'!$A$5:$B$24,2,FALSE)+VLOOKUP("Nombre de terrains outdoor",'Hypothèses'!$A$5:$B$24,2,FALSE))*VLOOKUP("Heures d'ouverture par terrain / mois",'Hypothèses'!$A$5:$B$24,2,FALSE),0))</f>
        <v/>
      </c>
      <c r="D47" s="56">
        <f>IF(A47="","",IFERROR(C47*B47,0))</f>
        <v/>
      </c>
      <c r="E47" s="50">
        <f>IF(A47="","",IFERROR(D47*VLOOKUP("Prix moyen réservation terrain",'Hypothèses'!$A$5:$B$24,2,FALSE),0))</f>
        <v/>
      </c>
      <c r="F47" s="50">
        <f>IF(A47="","",IFERROR(VLOOKUP("Nombre d'abonnés année 1",'Hypothèses'!$A$5:$B$24,2,FALSE)*VLOOKUP("Abonnement mensuel moyen",'Hypothèses'!$A$5:$B$24,2,FALSE),0))</f>
        <v/>
      </c>
      <c r="G47" s="50">
        <f>IF(A47="","",IFERROR(E47*VLOOKUP("Taux de CA coaching / stages",'Hypothèses'!$A$5:$B$24,2,FALSE),0))</f>
        <v/>
      </c>
      <c r="H47" s="50">
        <f>IF(A47="","",IFERROR(D47*VLOOKUP("Panier moyen bar / boutique",'Hypothèses'!$A$5:$B$24,2,FALSE),0))</f>
        <v/>
      </c>
      <c r="I47" s="50">
        <f>IF(A47="","",SUM(E47:H47))</f>
        <v/>
      </c>
      <c r="J47" s="50">
        <f>IF(A47="","",IFERROR(I47*VLOOKUP("Taux de TVA principal",'Hypothèses'!$A$5:$B$24,2,FALSE),0))</f>
        <v/>
      </c>
      <c r="K47" s="50">
        <f>IF(A47="","",IFERROR(I47*VLOOKUP("Taux de charges variables",'Hypothèses'!$A$5:$B$24,2,FALSE),0))</f>
        <v/>
      </c>
      <c r="L47" s="50">
        <f>IF(A47="","",IFERROR(VLOOKUP("Masse salariale annuelle",'Hypothèses'!$A$5:$B$24,2,FALSE)/12,0))</f>
        <v/>
      </c>
      <c r="M47" s="50">
        <f>IF(A47="","",IFERROR(VLOOKUP("Loyer annuel",'Hypothèses'!$A$5:$B$24,2,FALSE)/12,0))</f>
        <v/>
      </c>
      <c r="N47" s="50">
        <f>IF(A47="","",IFERROR(VLOOKUP("Budget marketing annuel",'Hypothèses'!$A$5:$B$24,2,FALSE)/12,0))</f>
        <v/>
      </c>
      <c r="O47" s="50">
        <f>IF(A47="","",IFERROR(VLOOKUP("Autres charges mensuelles",'Hypothèses'!$A$5:$B$24,2,FALSE),0))</f>
        <v/>
      </c>
      <c r="P47" s="50">
        <f>IF(A47="","",IFERROR(I47-SUM(K47:O47),0))</f>
        <v/>
      </c>
      <c r="Q47" s="50">
        <f>IF(A47="","",IFERROR('Investissements'!$K$105/12,0))</f>
        <v/>
      </c>
      <c r="R47" s="50">
        <f>IF(A47="","",IFERROR(P47-Q47,0))</f>
        <v/>
      </c>
      <c r="S47" s="50">
        <f>IF(A47="","",'Hypothèses'!$B$21+SUM($P$5:P47)-SUMIFS('Investissements'!$I$5:$I$104,'Investissements'!$D$5:$D$104,"&lt;="&amp;(A47+32-DAY(A47+32))))</f>
        <v/>
      </c>
      <c r="T47" s="57">
        <f>IF(A47="","",IFERROR(P47/I47,0))</f>
        <v/>
      </c>
      <c r="U47" s="57">
        <f>IF(A47="","",IFERROR(VLOOKUP("Taux d'occupation cible année 1",'Hypothèses'!$A$5:$B$24,2,FALSE),0))</f>
        <v/>
      </c>
    </row>
    <row r="48">
      <c r="A48" s="47" t="n"/>
      <c r="B48" s="55" t="n"/>
      <c r="C48" s="58">
        <f>IF(A48="","",IFERROR((VLOOKUP("Nombre de terrains indoor",'Hypothèses'!$A$5:$B$24,2,FALSE)+VLOOKUP("Nombre de terrains outdoor",'Hypothèses'!$A$5:$B$24,2,FALSE))*VLOOKUP("Heures d'ouverture par terrain / mois",'Hypothèses'!$A$5:$B$24,2,FALSE),0))</f>
        <v/>
      </c>
      <c r="D48" s="58">
        <f>IF(A48="","",IFERROR(C48*B48,0))</f>
        <v/>
      </c>
      <c r="E48" s="52">
        <f>IF(A48="","",IFERROR(D48*VLOOKUP("Prix moyen réservation terrain",'Hypothèses'!$A$5:$B$24,2,FALSE),0))</f>
        <v/>
      </c>
      <c r="F48" s="52">
        <f>IF(A48="","",IFERROR(VLOOKUP("Nombre d'abonnés année 1",'Hypothèses'!$A$5:$B$24,2,FALSE)*VLOOKUP("Abonnement mensuel moyen",'Hypothèses'!$A$5:$B$24,2,FALSE),0))</f>
        <v/>
      </c>
      <c r="G48" s="52">
        <f>IF(A48="","",IFERROR(E48*VLOOKUP("Taux de CA coaching / stages",'Hypothèses'!$A$5:$B$24,2,FALSE),0))</f>
        <v/>
      </c>
      <c r="H48" s="52">
        <f>IF(A48="","",IFERROR(D48*VLOOKUP("Panier moyen bar / boutique",'Hypothèses'!$A$5:$B$24,2,FALSE),0))</f>
        <v/>
      </c>
      <c r="I48" s="52">
        <f>IF(A48="","",SUM(E48:H48))</f>
        <v/>
      </c>
      <c r="J48" s="52">
        <f>IF(A48="","",IFERROR(I48*VLOOKUP("Taux de TVA principal",'Hypothèses'!$A$5:$B$24,2,FALSE),0))</f>
        <v/>
      </c>
      <c r="K48" s="52">
        <f>IF(A48="","",IFERROR(I48*VLOOKUP("Taux de charges variables",'Hypothèses'!$A$5:$B$24,2,FALSE),0))</f>
        <v/>
      </c>
      <c r="L48" s="52">
        <f>IF(A48="","",IFERROR(VLOOKUP("Masse salariale annuelle",'Hypothèses'!$A$5:$B$24,2,FALSE)/12,0))</f>
        <v/>
      </c>
      <c r="M48" s="52">
        <f>IF(A48="","",IFERROR(VLOOKUP("Loyer annuel",'Hypothèses'!$A$5:$B$24,2,FALSE)/12,0))</f>
        <v/>
      </c>
      <c r="N48" s="52">
        <f>IF(A48="","",IFERROR(VLOOKUP("Budget marketing annuel",'Hypothèses'!$A$5:$B$24,2,FALSE)/12,0))</f>
        <v/>
      </c>
      <c r="O48" s="52">
        <f>IF(A48="","",IFERROR(VLOOKUP("Autres charges mensuelles",'Hypothèses'!$A$5:$B$24,2,FALSE),0))</f>
        <v/>
      </c>
      <c r="P48" s="52">
        <f>IF(A48="","",IFERROR(I48-SUM(K48:O48),0))</f>
        <v/>
      </c>
      <c r="Q48" s="52">
        <f>IF(A48="","",IFERROR('Investissements'!$K$105/12,0))</f>
        <v/>
      </c>
      <c r="R48" s="52">
        <f>IF(A48="","",IFERROR(P48-Q48,0))</f>
        <v/>
      </c>
      <c r="S48" s="52">
        <f>IF(A48="","",'Hypothèses'!$B$21+SUM($P$5:P48)-SUMIFS('Investissements'!$I$5:$I$104,'Investissements'!$D$5:$D$104,"&lt;="&amp;(A48+32-DAY(A48+32))))</f>
        <v/>
      </c>
      <c r="T48" s="59">
        <f>IF(A48="","",IFERROR(P48/I48,0))</f>
        <v/>
      </c>
      <c r="U48" s="59">
        <f>IF(A48="","",IFERROR(VLOOKUP("Taux d'occupation cible année 1",'Hypothèses'!$A$5:$B$24,2,FALSE),0))</f>
        <v/>
      </c>
    </row>
    <row r="49">
      <c r="A49" s="47" t="n"/>
      <c r="B49" s="55" t="n"/>
      <c r="C49" s="56">
        <f>IF(A49="","",IFERROR((VLOOKUP("Nombre de terrains indoor",'Hypothèses'!$A$5:$B$24,2,FALSE)+VLOOKUP("Nombre de terrains outdoor",'Hypothèses'!$A$5:$B$24,2,FALSE))*VLOOKUP("Heures d'ouverture par terrain / mois",'Hypothèses'!$A$5:$B$24,2,FALSE),0))</f>
        <v/>
      </c>
      <c r="D49" s="56">
        <f>IF(A49="","",IFERROR(C49*B49,0))</f>
        <v/>
      </c>
      <c r="E49" s="50">
        <f>IF(A49="","",IFERROR(D49*VLOOKUP("Prix moyen réservation terrain",'Hypothèses'!$A$5:$B$24,2,FALSE),0))</f>
        <v/>
      </c>
      <c r="F49" s="50">
        <f>IF(A49="","",IFERROR(VLOOKUP("Nombre d'abonnés année 1",'Hypothèses'!$A$5:$B$24,2,FALSE)*VLOOKUP("Abonnement mensuel moyen",'Hypothèses'!$A$5:$B$24,2,FALSE),0))</f>
        <v/>
      </c>
      <c r="G49" s="50">
        <f>IF(A49="","",IFERROR(E49*VLOOKUP("Taux de CA coaching / stages",'Hypothèses'!$A$5:$B$24,2,FALSE),0))</f>
        <v/>
      </c>
      <c r="H49" s="50">
        <f>IF(A49="","",IFERROR(D49*VLOOKUP("Panier moyen bar / boutique",'Hypothèses'!$A$5:$B$24,2,FALSE),0))</f>
        <v/>
      </c>
      <c r="I49" s="50">
        <f>IF(A49="","",SUM(E49:H49))</f>
        <v/>
      </c>
      <c r="J49" s="50">
        <f>IF(A49="","",IFERROR(I49*VLOOKUP("Taux de TVA principal",'Hypothèses'!$A$5:$B$24,2,FALSE),0))</f>
        <v/>
      </c>
      <c r="K49" s="50">
        <f>IF(A49="","",IFERROR(I49*VLOOKUP("Taux de charges variables",'Hypothèses'!$A$5:$B$24,2,FALSE),0))</f>
        <v/>
      </c>
      <c r="L49" s="50">
        <f>IF(A49="","",IFERROR(VLOOKUP("Masse salariale annuelle",'Hypothèses'!$A$5:$B$24,2,FALSE)/12,0))</f>
        <v/>
      </c>
      <c r="M49" s="50">
        <f>IF(A49="","",IFERROR(VLOOKUP("Loyer annuel",'Hypothèses'!$A$5:$B$24,2,FALSE)/12,0))</f>
        <v/>
      </c>
      <c r="N49" s="50">
        <f>IF(A49="","",IFERROR(VLOOKUP("Budget marketing annuel",'Hypothèses'!$A$5:$B$24,2,FALSE)/12,0))</f>
        <v/>
      </c>
      <c r="O49" s="50">
        <f>IF(A49="","",IFERROR(VLOOKUP("Autres charges mensuelles",'Hypothèses'!$A$5:$B$24,2,FALSE),0))</f>
        <v/>
      </c>
      <c r="P49" s="50">
        <f>IF(A49="","",IFERROR(I49-SUM(K49:O49),0))</f>
        <v/>
      </c>
      <c r="Q49" s="50">
        <f>IF(A49="","",IFERROR('Investissements'!$K$105/12,0))</f>
        <v/>
      </c>
      <c r="R49" s="50">
        <f>IF(A49="","",IFERROR(P49-Q49,0))</f>
        <v/>
      </c>
      <c r="S49" s="50">
        <f>IF(A49="","",'Hypothèses'!$B$21+SUM($P$5:P49)-SUMIFS('Investissements'!$I$5:$I$104,'Investissements'!$D$5:$D$104,"&lt;="&amp;(A49+32-DAY(A49+32))))</f>
        <v/>
      </c>
      <c r="T49" s="57">
        <f>IF(A49="","",IFERROR(P49/I49,0))</f>
        <v/>
      </c>
      <c r="U49" s="57">
        <f>IF(A49="","",IFERROR(VLOOKUP("Taux d'occupation cible année 1",'Hypothèses'!$A$5:$B$24,2,FALSE),0))</f>
        <v/>
      </c>
    </row>
    <row r="50">
      <c r="A50" s="47" t="n"/>
      <c r="B50" s="55" t="n"/>
      <c r="C50" s="58">
        <f>IF(A50="","",IFERROR((VLOOKUP("Nombre de terrains indoor",'Hypothèses'!$A$5:$B$24,2,FALSE)+VLOOKUP("Nombre de terrains outdoor",'Hypothèses'!$A$5:$B$24,2,FALSE))*VLOOKUP("Heures d'ouverture par terrain / mois",'Hypothèses'!$A$5:$B$24,2,FALSE),0))</f>
        <v/>
      </c>
      <c r="D50" s="58">
        <f>IF(A50="","",IFERROR(C50*B50,0))</f>
        <v/>
      </c>
      <c r="E50" s="52">
        <f>IF(A50="","",IFERROR(D50*VLOOKUP("Prix moyen réservation terrain",'Hypothèses'!$A$5:$B$24,2,FALSE),0))</f>
        <v/>
      </c>
      <c r="F50" s="52">
        <f>IF(A50="","",IFERROR(VLOOKUP("Nombre d'abonnés année 1",'Hypothèses'!$A$5:$B$24,2,FALSE)*VLOOKUP("Abonnement mensuel moyen",'Hypothèses'!$A$5:$B$24,2,FALSE),0))</f>
        <v/>
      </c>
      <c r="G50" s="52">
        <f>IF(A50="","",IFERROR(E50*VLOOKUP("Taux de CA coaching / stages",'Hypothèses'!$A$5:$B$24,2,FALSE),0))</f>
        <v/>
      </c>
      <c r="H50" s="52">
        <f>IF(A50="","",IFERROR(D50*VLOOKUP("Panier moyen bar / boutique",'Hypothèses'!$A$5:$B$24,2,FALSE),0))</f>
        <v/>
      </c>
      <c r="I50" s="52">
        <f>IF(A50="","",SUM(E50:H50))</f>
        <v/>
      </c>
      <c r="J50" s="52">
        <f>IF(A50="","",IFERROR(I50*VLOOKUP("Taux de TVA principal",'Hypothèses'!$A$5:$B$24,2,FALSE),0))</f>
        <v/>
      </c>
      <c r="K50" s="52">
        <f>IF(A50="","",IFERROR(I50*VLOOKUP("Taux de charges variables",'Hypothèses'!$A$5:$B$24,2,FALSE),0))</f>
        <v/>
      </c>
      <c r="L50" s="52">
        <f>IF(A50="","",IFERROR(VLOOKUP("Masse salariale annuelle",'Hypothèses'!$A$5:$B$24,2,FALSE)/12,0))</f>
        <v/>
      </c>
      <c r="M50" s="52">
        <f>IF(A50="","",IFERROR(VLOOKUP("Loyer annuel",'Hypothèses'!$A$5:$B$24,2,FALSE)/12,0))</f>
        <v/>
      </c>
      <c r="N50" s="52">
        <f>IF(A50="","",IFERROR(VLOOKUP("Budget marketing annuel",'Hypothèses'!$A$5:$B$24,2,FALSE)/12,0))</f>
        <v/>
      </c>
      <c r="O50" s="52">
        <f>IF(A50="","",IFERROR(VLOOKUP("Autres charges mensuelles",'Hypothèses'!$A$5:$B$24,2,FALSE),0))</f>
        <v/>
      </c>
      <c r="P50" s="52">
        <f>IF(A50="","",IFERROR(I50-SUM(K50:O50),0))</f>
        <v/>
      </c>
      <c r="Q50" s="52">
        <f>IF(A50="","",IFERROR('Investissements'!$K$105/12,0))</f>
        <v/>
      </c>
      <c r="R50" s="52">
        <f>IF(A50="","",IFERROR(P50-Q50,0))</f>
        <v/>
      </c>
      <c r="S50" s="52">
        <f>IF(A50="","",'Hypothèses'!$B$21+SUM($P$5:P50)-SUMIFS('Investissements'!$I$5:$I$104,'Investissements'!$D$5:$D$104,"&lt;="&amp;(A50+32-DAY(A50+32))))</f>
        <v/>
      </c>
      <c r="T50" s="59">
        <f>IF(A50="","",IFERROR(P50/I50,0))</f>
        <v/>
      </c>
      <c r="U50" s="59">
        <f>IF(A50="","",IFERROR(VLOOKUP("Taux d'occupation cible année 1",'Hypothèses'!$A$5:$B$24,2,FALSE),0))</f>
        <v/>
      </c>
    </row>
    <row r="51">
      <c r="A51" s="47" t="n"/>
      <c r="B51" s="55" t="n"/>
      <c r="C51" s="56">
        <f>IF(A51="","",IFERROR((VLOOKUP("Nombre de terrains indoor",'Hypothèses'!$A$5:$B$24,2,FALSE)+VLOOKUP("Nombre de terrains outdoor",'Hypothèses'!$A$5:$B$24,2,FALSE))*VLOOKUP("Heures d'ouverture par terrain / mois",'Hypothèses'!$A$5:$B$24,2,FALSE),0))</f>
        <v/>
      </c>
      <c r="D51" s="56">
        <f>IF(A51="","",IFERROR(C51*B51,0))</f>
        <v/>
      </c>
      <c r="E51" s="50">
        <f>IF(A51="","",IFERROR(D51*VLOOKUP("Prix moyen réservation terrain",'Hypothèses'!$A$5:$B$24,2,FALSE),0))</f>
        <v/>
      </c>
      <c r="F51" s="50">
        <f>IF(A51="","",IFERROR(VLOOKUP("Nombre d'abonnés année 1",'Hypothèses'!$A$5:$B$24,2,FALSE)*VLOOKUP("Abonnement mensuel moyen",'Hypothèses'!$A$5:$B$24,2,FALSE),0))</f>
        <v/>
      </c>
      <c r="G51" s="50">
        <f>IF(A51="","",IFERROR(E51*VLOOKUP("Taux de CA coaching / stages",'Hypothèses'!$A$5:$B$24,2,FALSE),0))</f>
        <v/>
      </c>
      <c r="H51" s="50">
        <f>IF(A51="","",IFERROR(D51*VLOOKUP("Panier moyen bar / boutique",'Hypothèses'!$A$5:$B$24,2,FALSE),0))</f>
        <v/>
      </c>
      <c r="I51" s="50">
        <f>IF(A51="","",SUM(E51:H51))</f>
        <v/>
      </c>
      <c r="J51" s="50">
        <f>IF(A51="","",IFERROR(I51*VLOOKUP("Taux de TVA principal",'Hypothèses'!$A$5:$B$24,2,FALSE),0))</f>
        <v/>
      </c>
      <c r="K51" s="50">
        <f>IF(A51="","",IFERROR(I51*VLOOKUP("Taux de charges variables",'Hypothèses'!$A$5:$B$24,2,FALSE),0))</f>
        <v/>
      </c>
      <c r="L51" s="50">
        <f>IF(A51="","",IFERROR(VLOOKUP("Masse salariale annuelle",'Hypothèses'!$A$5:$B$24,2,FALSE)/12,0))</f>
        <v/>
      </c>
      <c r="M51" s="50">
        <f>IF(A51="","",IFERROR(VLOOKUP("Loyer annuel",'Hypothèses'!$A$5:$B$24,2,FALSE)/12,0))</f>
        <v/>
      </c>
      <c r="N51" s="50">
        <f>IF(A51="","",IFERROR(VLOOKUP("Budget marketing annuel",'Hypothèses'!$A$5:$B$24,2,FALSE)/12,0))</f>
        <v/>
      </c>
      <c r="O51" s="50">
        <f>IF(A51="","",IFERROR(VLOOKUP("Autres charges mensuelles",'Hypothèses'!$A$5:$B$24,2,FALSE),0))</f>
        <v/>
      </c>
      <c r="P51" s="50">
        <f>IF(A51="","",IFERROR(I51-SUM(K51:O51),0))</f>
        <v/>
      </c>
      <c r="Q51" s="50">
        <f>IF(A51="","",IFERROR('Investissements'!$K$105/12,0))</f>
        <v/>
      </c>
      <c r="R51" s="50">
        <f>IF(A51="","",IFERROR(P51-Q51,0))</f>
        <v/>
      </c>
      <c r="S51" s="50">
        <f>IF(A51="","",'Hypothèses'!$B$21+SUM($P$5:P51)-SUMIFS('Investissements'!$I$5:$I$104,'Investissements'!$D$5:$D$104,"&lt;="&amp;(A51+32-DAY(A51+32))))</f>
        <v/>
      </c>
      <c r="T51" s="57">
        <f>IF(A51="","",IFERROR(P51/I51,0))</f>
        <v/>
      </c>
      <c r="U51" s="57">
        <f>IF(A51="","",IFERROR(VLOOKUP("Taux d'occupation cible année 1",'Hypothèses'!$A$5:$B$24,2,FALSE),0))</f>
        <v/>
      </c>
    </row>
    <row r="52">
      <c r="A52" s="47" t="n"/>
      <c r="B52" s="55" t="n"/>
      <c r="C52" s="58">
        <f>IF(A52="","",IFERROR((VLOOKUP("Nombre de terrains indoor",'Hypothèses'!$A$5:$B$24,2,FALSE)+VLOOKUP("Nombre de terrains outdoor",'Hypothèses'!$A$5:$B$24,2,FALSE))*VLOOKUP("Heures d'ouverture par terrain / mois",'Hypothèses'!$A$5:$B$24,2,FALSE),0))</f>
        <v/>
      </c>
      <c r="D52" s="58">
        <f>IF(A52="","",IFERROR(C52*B52,0))</f>
        <v/>
      </c>
      <c r="E52" s="52">
        <f>IF(A52="","",IFERROR(D52*VLOOKUP("Prix moyen réservation terrain",'Hypothèses'!$A$5:$B$24,2,FALSE),0))</f>
        <v/>
      </c>
      <c r="F52" s="52">
        <f>IF(A52="","",IFERROR(VLOOKUP("Nombre d'abonnés année 1",'Hypothèses'!$A$5:$B$24,2,FALSE)*VLOOKUP("Abonnement mensuel moyen",'Hypothèses'!$A$5:$B$24,2,FALSE),0))</f>
        <v/>
      </c>
      <c r="G52" s="52">
        <f>IF(A52="","",IFERROR(E52*VLOOKUP("Taux de CA coaching / stages",'Hypothèses'!$A$5:$B$24,2,FALSE),0))</f>
        <v/>
      </c>
      <c r="H52" s="52">
        <f>IF(A52="","",IFERROR(D52*VLOOKUP("Panier moyen bar / boutique",'Hypothèses'!$A$5:$B$24,2,FALSE),0))</f>
        <v/>
      </c>
      <c r="I52" s="52">
        <f>IF(A52="","",SUM(E52:H52))</f>
        <v/>
      </c>
      <c r="J52" s="52">
        <f>IF(A52="","",IFERROR(I52*VLOOKUP("Taux de TVA principal",'Hypothèses'!$A$5:$B$24,2,FALSE),0))</f>
        <v/>
      </c>
      <c r="K52" s="52">
        <f>IF(A52="","",IFERROR(I52*VLOOKUP("Taux de charges variables",'Hypothèses'!$A$5:$B$24,2,FALSE),0))</f>
        <v/>
      </c>
      <c r="L52" s="52">
        <f>IF(A52="","",IFERROR(VLOOKUP("Masse salariale annuelle",'Hypothèses'!$A$5:$B$24,2,FALSE)/12,0))</f>
        <v/>
      </c>
      <c r="M52" s="52">
        <f>IF(A52="","",IFERROR(VLOOKUP("Loyer annuel",'Hypothèses'!$A$5:$B$24,2,FALSE)/12,0))</f>
        <v/>
      </c>
      <c r="N52" s="52">
        <f>IF(A52="","",IFERROR(VLOOKUP("Budget marketing annuel",'Hypothèses'!$A$5:$B$24,2,FALSE)/12,0))</f>
        <v/>
      </c>
      <c r="O52" s="52">
        <f>IF(A52="","",IFERROR(VLOOKUP("Autres charges mensuelles",'Hypothèses'!$A$5:$B$24,2,FALSE),0))</f>
        <v/>
      </c>
      <c r="P52" s="52">
        <f>IF(A52="","",IFERROR(I52-SUM(K52:O52),0))</f>
        <v/>
      </c>
      <c r="Q52" s="52">
        <f>IF(A52="","",IFERROR('Investissements'!$K$105/12,0))</f>
        <v/>
      </c>
      <c r="R52" s="52">
        <f>IF(A52="","",IFERROR(P52-Q52,0))</f>
        <v/>
      </c>
      <c r="S52" s="52">
        <f>IF(A52="","",'Hypothèses'!$B$21+SUM($P$5:P52)-SUMIFS('Investissements'!$I$5:$I$104,'Investissements'!$D$5:$D$104,"&lt;="&amp;(A52+32-DAY(A52+32))))</f>
        <v/>
      </c>
      <c r="T52" s="59">
        <f>IF(A52="","",IFERROR(P52/I52,0))</f>
        <v/>
      </c>
      <c r="U52" s="59">
        <f>IF(A52="","",IFERROR(VLOOKUP("Taux d'occupation cible année 1",'Hypothèses'!$A$5:$B$24,2,FALSE),0))</f>
        <v/>
      </c>
    </row>
    <row r="53">
      <c r="A53" s="47" t="n"/>
      <c r="B53" s="55" t="n"/>
      <c r="C53" s="56">
        <f>IF(A53="","",IFERROR((VLOOKUP("Nombre de terrains indoor",'Hypothèses'!$A$5:$B$24,2,FALSE)+VLOOKUP("Nombre de terrains outdoor",'Hypothèses'!$A$5:$B$24,2,FALSE))*VLOOKUP("Heures d'ouverture par terrain / mois",'Hypothèses'!$A$5:$B$24,2,FALSE),0))</f>
        <v/>
      </c>
      <c r="D53" s="56">
        <f>IF(A53="","",IFERROR(C53*B53,0))</f>
        <v/>
      </c>
      <c r="E53" s="50">
        <f>IF(A53="","",IFERROR(D53*VLOOKUP("Prix moyen réservation terrain",'Hypothèses'!$A$5:$B$24,2,FALSE),0))</f>
        <v/>
      </c>
      <c r="F53" s="50">
        <f>IF(A53="","",IFERROR(VLOOKUP("Nombre d'abonnés année 1",'Hypothèses'!$A$5:$B$24,2,FALSE)*VLOOKUP("Abonnement mensuel moyen",'Hypothèses'!$A$5:$B$24,2,FALSE),0))</f>
        <v/>
      </c>
      <c r="G53" s="50">
        <f>IF(A53="","",IFERROR(E53*VLOOKUP("Taux de CA coaching / stages",'Hypothèses'!$A$5:$B$24,2,FALSE),0))</f>
        <v/>
      </c>
      <c r="H53" s="50">
        <f>IF(A53="","",IFERROR(D53*VLOOKUP("Panier moyen bar / boutique",'Hypothèses'!$A$5:$B$24,2,FALSE),0))</f>
        <v/>
      </c>
      <c r="I53" s="50">
        <f>IF(A53="","",SUM(E53:H53))</f>
        <v/>
      </c>
      <c r="J53" s="50">
        <f>IF(A53="","",IFERROR(I53*VLOOKUP("Taux de TVA principal",'Hypothèses'!$A$5:$B$24,2,FALSE),0))</f>
        <v/>
      </c>
      <c r="K53" s="50">
        <f>IF(A53="","",IFERROR(I53*VLOOKUP("Taux de charges variables",'Hypothèses'!$A$5:$B$24,2,FALSE),0))</f>
        <v/>
      </c>
      <c r="L53" s="50">
        <f>IF(A53="","",IFERROR(VLOOKUP("Masse salariale annuelle",'Hypothèses'!$A$5:$B$24,2,FALSE)/12,0))</f>
        <v/>
      </c>
      <c r="M53" s="50">
        <f>IF(A53="","",IFERROR(VLOOKUP("Loyer annuel",'Hypothèses'!$A$5:$B$24,2,FALSE)/12,0))</f>
        <v/>
      </c>
      <c r="N53" s="50">
        <f>IF(A53="","",IFERROR(VLOOKUP("Budget marketing annuel",'Hypothèses'!$A$5:$B$24,2,FALSE)/12,0))</f>
        <v/>
      </c>
      <c r="O53" s="50">
        <f>IF(A53="","",IFERROR(VLOOKUP("Autres charges mensuelles",'Hypothèses'!$A$5:$B$24,2,FALSE),0))</f>
        <v/>
      </c>
      <c r="P53" s="50">
        <f>IF(A53="","",IFERROR(I53-SUM(K53:O53),0))</f>
        <v/>
      </c>
      <c r="Q53" s="50">
        <f>IF(A53="","",IFERROR('Investissements'!$K$105/12,0))</f>
        <v/>
      </c>
      <c r="R53" s="50">
        <f>IF(A53="","",IFERROR(P53-Q53,0))</f>
        <v/>
      </c>
      <c r="S53" s="50">
        <f>IF(A53="","",'Hypothèses'!$B$21+SUM($P$5:P53)-SUMIFS('Investissements'!$I$5:$I$104,'Investissements'!$D$5:$D$104,"&lt;="&amp;(A53+32-DAY(A53+32))))</f>
        <v/>
      </c>
      <c r="T53" s="57">
        <f>IF(A53="","",IFERROR(P53/I53,0))</f>
        <v/>
      </c>
      <c r="U53" s="57">
        <f>IF(A53="","",IFERROR(VLOOKUP("Taux d'occupation cible année 1",'Hypothèses'!$A$5:$B$24,2,FALSE),0))</f>
        <v/>
      </c>
    </row>
    <row r="54">
      <c r="A54" s="47" t="n"/>
      <c r="B54" s="55" t="n"/>
      <c r="C54" s="58">
        <f>IF(A54="","",IFERROR((VLOOKUP("Nombre de terrains indoor",'Hypothèses'!$A$5:$B$24,2,FALSE)+VLOOKUP("Nombre de terrains outdoor",'Hypothèses'!$A$5:$B$24,2,FALSE))*VLOOKUP("Heures d'ouverture par terrain / mois",'Hypothèses'!$A$5:$B$24,2,FALSE),0))</f>
        <v/>
      </c>
      <c r="D54" s="58">
        <f>IF(A54="","",IFERROR(C54*B54,0))</f>
        <v/>
      </c>
      <c r="E54" s="52">
        <f>IF(A54="","",IFERROR(D54*VLOOKUP("Prix moyen réservation terrain",'Hypothèses'!$A$5:$B$24,2,FALSE),0))</f>
        <v/>
      </c>
      <c r="F54" s="52">
        <f>IF(A54="","",IFERROR(VLOOKUP("Nombre d'abonnés année 1",'Hypothèses'!$A$5:$B$24,2,FALSE)*VLOOKUP("Abonnement mensuel moyen",'Hypothèses'!$A$5:$B$24,2,FALSE),0))</f>
        <v/>
      </c>
      <c r="G54" s="52">
        <f>IF(A54="","",IFERROR(E54*VLOOKUP("Taux de CA coaching / stages",'Hypothèses'!$A$5:$B$24,2,FALSE),0))</f>
        <v/>
      </c>
      <c r="H54" s="52">
        <f>IF(A54="","",IFERROR(D54*VLOOKUP("Panier moyen bar / boutique",'Hypothèses'!$A$5:$B$24,2,FALSE),0))</f>
        <v/>
      </c>
      <c r="I54" s="52">
        <f>IF(A54="","",SUM(E54:H54))</f>
        <v/>
      </c>
      <c r="J54" s="52">
        <f>IF(A54="","",IFERROR(I54*VLOOKUP("Taux de TVA principal",'Hypothèses'!$A$5:$B$24,2,FALSE),0))</f>
        <v/>
      </c>
      <c r="K54" s="52">
        <f>IF(A54="","",IFERROR(I54*VLOOKUP("Taux de charges variables",'Hypothèses'!$A$5:$B$24,2,FALSE),0))</f>
        <v/>
      </c>
      <c r="L54" s="52">
        <f>IF(A54="","",IFERROR(VLOOKUP("Masse salariale annuelle",'Hypothèses'!$A$5:$B$24,2,FALSE)/12,0))</f>
        <v/>
      </c>
      <c r="M54" s="52">
        <f>IF(A54="","",IFERROR(VLOOKUP("Loyer annuel",'Hypothèses'!$A$5:$B$24,2,FALSE)/12,0))</f>
        <v/>
      </c>
      <c r="N54" s="52">
        <f>IF(A54="","",IFERROR(VLOOKUP("Budget marketing annuel",'Hypothèses'!$A$5:$B$24,2,FALSE)/12,0))</f>
        <v/>
      </c>
      <c r="O54" s="52">
        <f>IF(A54="","",IFERROR(VLOOKUP("Autres charges mensuelles",'Hypothèses'!$A$5:$B$24,2,FALSE),0))</f>
        <v/>
      </c>
      <c r="P54" s="52">
        <f>IF(A54="","",IFERROR(I54-SUM(K54:O54),0))</f>
        <v/>
      </c>
      <c r="Q54" s="52">
        <f>IF(A54="","",IFERROR('Investissements'!$K$105/12,0))</f>
        <v/>
      </c>
      <c r="R54" s="52">
        <f>IF(A54="","",IFERROR(P54-Q54,0))</f>
        <v/>
      </c>
      <c r="S54" s="52">
        <f>IF(A54="","",'Hypothèses'!$B$21+SUM($P$5:P54)-SUMIFS('Investissements'!$I$5:$I$104,'Investissements'!$D$5:$D$104,"&lt;="&amp;(A54+32-DAY(A54+32))))</f>
        <v/>
      </c>
      <c r="T54" s="59">
        <f>IF(A54="","",IFERROR(P54/I54,0))</f>
        <v/>
      </c>
      <c r="U54" s="59">
        <f>IF(A54="","",IFERROR(VLOOKUP("Taux d'occupation cible année 1",'Hypothèses'!$A$5:$B$24,2,FALSE),0))</f>
        <v/>
      </c>
    </row>
    <row r="55">
      <c r="A55" s="47" t="n"/>
      <c r="B55" s="55" t="n"/>
      <c r="C55" s="56">
        <f>IF(A55="","",IFERROR((VLOOKUP("Nombre de terrains indoor",'Hypothèses'!$A$5:$B$24,2,FALSE)+VLOOKUP("Nombre de terrains outdoor",'Hypothèses'!$A$5:$B$24,2,FALSE))*VLOOKUP("Heures d'ouverture par terrain / mois",'Hypothèses'!$A$5:$B$24,2,FALSE),0))</f>
        <v/>
      </c>
      <c r="D55" s="56">
        <f>IF(A55="","",IFERROR(C55*B55,0))</f>
        <v/>
      </c>
      <c r="E55" s="50">
        <f>IF(A55="","",IFERROR(D55*VLOOKUP("Prix moyen réservation terrain",'Hypothèses'!$A$5:$B$24,2,FALSE),0))</f>
        <v/>
      </c>
      <c r="F55" s="50">
        <f>IF(A55="","",IFERROR(VLOOKUP("Nombre d'abonnés année 1",'Hypothèses'!$A$5:$B$24,2,FALSE)*VLOOKUP("Abonnement mensuel moyen",'Hypothèses'!$A$5:$B$24,2,FALSE),0))</f>
        <v/>
      </c>
      <c r="G55" s="50">
        <f>IF(A55="","",IFERROR(E55*VLOOKUP("Taux de CA coaching / stages",'Hypothèses'!$A$5:$B$24,2,FALSE),0))</f>
        <v/>
      </c>
      <c r="H55" s="50">
        <f>IF(A55="","",IFERROR(D55*VLOOKUP("Panier moyen bar / boutique",'Hypothèses'!$A$5:$B$24,2,FALSE),0))</f>
        <v/>
      </c>
      <c r="I55" s="50">
        <f>IF(A55="","",SUM(E55:H55))</f>
        <v/>
      </c>
      <c r="J55" s="50">
        <f>IF(A55="","",IFERROR(I55*VLOOKUP("Taux de TVA principal",'Hypothèses'!$A$5:$B$24,2,FALSE),0))</f>
        <v/>
      </c>
      <c r="K55" s="50">
        <f>IF(A55="","",IFERROR(I55*VLOOKUP("Taux de charges variables",'Hypothèses'!$A$5:$B$24,2,FALSE),0))</f>
        <v/>
      </c>
      <c r="L55" s="50">
        <f>IF(A55="","",IFERROR(VLOOKUP("Masse salariale annuelle",'Hypothèses'!$A$5:$B$24,2,FALSE)/12,0))</f>
        <v/>
      </c>
      <c r="M55" s="50">
        <f>IF(A55="","",IFERROR(VLOOKUP("Loyer annuel",'Hypothèses'!$A$5:$B$24,2,FALSE)/12,0))</f>
        <v/>
      </c>
      <c r="N55" s="50">
        <f>IF(A55="","",IFERROR(VLOOKUP("Budget marketing annuel",'Hypothèses'!$A$5:$B$24,2,FALSE)/12,0))</f>
        <v/>
      </c>
      <c r="O55" s="50">
        <f>IF(A55="","",IFERROR(VLOOKUP("Autres charges mensuelles",'Hypothèses'!$A$5:$B$24,2,FALSE),0))</f>
        <v/>
      </c>
      <c r="P55" s="50">
        <f>IF(A55="","",IFERROR(I55-SUM(K55:O55),0))</f>
        <v/>
      </c>
      <c r="Q55" s="50">
        <f>IF(A55="","",IFERROR('Investissements'!$K$105/12,0))</f>
        <v/>
      </c>
      <c r="R55" s="50">
        <f>IF(A55="","",IFERROR(P55-Q55,0))</f>
        <v/>
      </c>
      <c r="S55" s="50">
        <f>IF(A55="","",'Hypothèses'!$B$21+SUM($P$5:P55)-SUMIFS('Investissements'!$I$5:$I$104,'Investissements'!$D$5:$D$104,"&lt;="&amp;(A55+32-DAY(A55+32))))</f>
        <v/>
      </c>
      <c r="T55" s="57">
        <f>IF(A55="","",IFERROR(P55/I55,0))</f>
        <v/>
      </c>
      <c r="U55" s="57">
        <f>IF(A55="","",IFERROR(VLOOKUP("Taux d'occupation cible année 1",'Hypothèses'!$A$5:$B$24,2,FALSE),0))</f>
        <v/>
      </c>
    </row>
    <row r="56">
      <c r="A56" s="47" t="n"/>
      <c r="B56" s="55" t="n"/>
      <c r="C56" s="58">
        <f>IF(A56="","",IFERROR((VLOOKUP("Nombre de terrains indoor",'Hypothèses'!$A$5:$B$24,2,FALSE)+VLOOKUP("Nombre de terrains outdoor",'Hypothèses'!$A$5:$B$24,2,FALSE))*VLOOKUP("Heures d'ouverture par terrain / mois",'Hypothèses'!$A$5:$B$24,2,FALSE),0))</f>
        <v/>
      </c>
      <c r="D56" s="58">
        <f>IF(A56="","",IFERROR(C56*B56,0))</f>
        <v/>
      </c>
      <c r="E56" s="52">
        <f>IF(A56="","",IFERROR(D56*VLOOKUP("Prix moyen réservation terrain",'Hypothèses'!$A$5:$B$24,2,FALSE),0))</f>
        <v/>
      </c>
      <c r="F56" s="52">
        <f>IF(A56="","",IFERROR(VLOOKUP("Nombre d'abonnés année 1",'Hypothèses'!$A$5:$B$24,2,FALSE)*VLOOKUP("Abonnement mensuel moyen",'Hypothèses'!$A$5:$B$24,2,FALSE),0))</f>
        <v/>
      </c>
      <c r="G56" s="52">
        <f>IF(A56="","",IFERROR(E56*VLOOKUP("Taux de CA coaching / stages",'Hypothèses'!$A$5:$B$24,2,FALSE),0))</f>
        <v/>
      </c>
      <c r="H56" s="52">
        <f>IF(A56="","",IFERROR(D56*VLOOKUP("Panier moyen bar / boutique",'Hypothèses'!$A$5:$B$24,2,FALSE),0))</f>
        <v/>
      </c>
      <c r="I56" s="52">
        <f>IF(A56="","",SUM(E56:H56))</f>
        <v/>
      </c>
      <c r="J56" s="52">
        <f>IF(A56="","",IFERROR(I56*VLOOKUP("Taux de TVA principal",'Hypothèses'!$A$5:$B$24,2,FALSE),0))</f>
        <v/>
      </c>
      <c r="K56" s="52">
        <f>IF(A56="","",IFERROR(I56*VLOOKUP("Taux de charges variables",'Hypothèses'!$A$5:$B$24,2,FALSE),0))</f>
        <v/>
      </c>
      <c r="L56" s="52">
        <f>IF(A56="","",IFERROR(VLOOKUP("Masse salariale annuelle",'Hypothèses'!$A$5:$B$24,2,FALSE)/12,0))</f>
        <v/>
      </c>
      <c r="M56" s="52">
        <f>IF(A56="","",IFERROR(VLOOKUP("Loyer annuel",'Hypothèses'!$A$5:$B$24,2,FALSE)/12,0))</f>
        <v/>
      </c>
      <c r="N56" s="52">
        <f>IF(A56="","",IFERROR(VLOOKUP("Budget marketing annuel",'Hypothèses'!$A$5:$B$24,2,FALSE)/12,0))</f>
        <v/>
      </c>
      <c r="O56" s="52">
        <f>IF(A56="","",IFERROR(VLOOKUP("Autres charges mensuelles",'Hypothèses'!$A$5:$B$24,2,FALSE),0))</f>
        <v/>
      </c>
      <c r="P56" s="52">
        <f>IF(A56="","",IFERROR(I56-SUM(K56:O56),0))</f>
        <v/>
      </c>
      <c r="Q56" s="52">
        <f>IF(A56="","",IFERROR('Investissements'!$K$105/12,0))</f>
        <v/>
      </c>
      <c r="R56" s="52">
        <f>IF(A56="","",IFERROR(P56-Q56,0))</f>
        <v/>
      </c>
      <c r="S56" s="52">
        <f>IF(A56="","",'Hypothèses'!$B$21+SUM($P$5:P56)-SUMIFS('Investissements'!$I$5:$I$104,'Investissements'!$D$5:$D$104,"&lt;="&amp;(A56+32-DAY(A56+32))))</f>
        <v/>
      </c>
      <c r="T56" s="59">
        <f>IF(A56="","",IFERROR(P56/I56,0))</f>
        <v/>
      </c>
      <c r="U56" s="59">
        <f>IF(A56="","",IFERROR(VLOOKUP("Taux d'occupation cible année 1",'Hypothèses'!$A$5:$B$24,2,FALSE),0))</f>
        <v/>
      </c>
    </row>
    <row r="57">
      <c r="A57" s="47" t="n"/>
      <c r="B57" s="55" t="n"/>
      <c r="C57" s="56">
        <f>IF(A57="","",IFERROR((VLOOKUP("Nombre de terrains indoor",'Hypothèses'!$A$5:$B$24,2,FALSE)+VLOOKUP("Nombre de terrains outdoor",'Hypothèses'!$A$5:$B$24,2,FALSE))*VLOOKUP("Heures d'ouverture par terrain / mois",'Hypothèses'!$A$5:$B$24,2,FALSE),0))</f>
        <v/>
      </c>
      <c r="D57" s="56">
        <f>IF(A57="","",IFERROR(C57*B57,0))</f>
        <v/>
      </c>
      <c r="E57" s="50">
        <f>IF(A57="","",IFERROR(D57*VLOOKUP("Prix moyen réservation terrain",'Hypothèses'!$A$5:$B$24,2,FALSE),0))</f>
        <v/>
      </c>
      <c r="F57" s="50">
        <f>IF(A57="","",IFERROR(VLOOKUP("Nombre d'abonnés année 1",'Hypothèses'!$A$5:$B$24,2,FALSE)*VLOOKUP("Abonnement mensuel moyen",'Hypothèses'!$A$5:$B$24,2,FALSE),0))</f>
        <v/>
      </c>
      <c r="G57" s="50">
        <f>IF(A57="","",IFERROR(E57*VLOOKUP("Taux de CA coaching / stages",'Hypothèses'!$A$5:$B$24,2,FALSE),0))</f>
        <v/>
      </c>
      <c r="H57" s="50">
        <f>IF(A57="","",IFERROR(D57*VLOOKUP("Panier moyen bar / boutique",'Hypothèses'!$A$5:$B$24,2,FALSE),0))</f>
        <v/>
      </c>
      <c r="I57" s="50">
        <f>IF(A57="","",SUM(E57:H57))</f>
        <v/>
      </c>
      <c r="J57" s="50">
        <f>IF(A57="","",IFERROR(I57*VLOOKUP("Taux de TVA principal",'Hypothèses'!$A$5:$B$24,2,FALSE),0))</f>
        <v/>
      </c>
      <c r="K57" s="50">
        <f>IF(A57="","",IFERROR(I57*VLOOKUP("Taux de charges variables",'Hypothèses'!$A$5:$B$24,2,FALSE),0))</f>
        <v/>
      </c>
      <c r="L57" s="50">
        <f>IF(A57="","",IFERROR(VLOOKUP("Masse salariale annuelle",'Hypothèses'!$A$5:$B$24,2,FALSE)/12,0))</f>
        <v/>
      </c>
      <c r="M57" s="50">
        <f>IF(A57="","",IFERROR(VLOOKUP("Loyer annuel",'Hypothèses'!$A$5:$B$24,2,FALSE)/12,0))</f>
        <v/>
      </c>
      <c r="N57" s="50">
        <f>IF(A57="","",IFERROR(VLOOKUP("Budget marketing annuel",'Hypothèses'!$A$5:$B$24,2,FALSE)/12,0))</f>
        <v/>
      </c>
      <c r="O57" s="50">
        <f>IF(A57="","",IFERROR(VLOOKUP("Autres charges mensuelles",'Hypothèses'!$A$5:$B$24,2,FALSE),0))</f>
        <v/>
      </c>
      <c r="P57" s="50">
        <f>IF(A57="","",IFERROR(I57-SUM(K57:O57),0))</f>
        <v/>
      </c>
      <c r="Q57" s="50">
        <f>IF(A57="","",IFERROR('Investissements'!$K$105/12,0))</f>
        <v/>
      </c>
      <c r="R57" s="50">
        <f>IF(A57="","",IFERROR(P57-Q57,0))</f>
        <v/>
      </c>
      <c r="S57" s="50">
        <f>IF(A57="","",'Hypothèses'!$B$21+SUM($P$5:P57)-SUMIFS('Investissements'!$I$5:$I$104,'Investissements'!$D$5:$D$104,"&lt;="&amp;(A57+32-DAY(A57+32))))</f>
        <v/>
      </c>
      <c r="T57" s="57">
        <f>IF(A57="","",IFERROR(P57/I57,0))</f>
        <v/>
      </c>
      <c r="U57" s="57">
        <f>IF(A57="","",IFERROR(VLOOKUP("Taux d'occupation cible année 1",'Hypothèses'!$A$5:$B$24,2,FALSE),0))</f>
        <v/>
      </c>
    </row>
    <row r="58">
      <c r="A58" s="47" t="n"/>
      <c r="B58" s="55" t="n"/>
      <c r="C58" s="58">
        <f>IF(A58="","",IFERROR((VLOOKUP("Nombre de terrains indoor",'Hypothèses'!$A$5:$B$24,2,FALSE)+VLOOKUP("Nombre de terrains outdoor",'Hypothèses'!$A$5:$B$24,2,FALSE))*VLOOKUP("Heures d'ouverture par terrain / mois",'Hypothèses'!$A$5:$B$24,2,FALSE),0))</f>
        <v/>
      </c>
      <c r="D58" s="58">
        <f>IF(A58="","",IFERROR(C58*B58,0))</f>
        <v/>
      </c>
      <c r="E58" s="52">
        <f>IF(A58="","",IFERROR(D58*VLOOKUP("Prix moyen réservation terrain",'Hypothèses'!$A$5:$B$24,2,FALSE),0))</f>
        <v/>
      </c>
      <c r="F58" s="52">
        <f>IF(A58="","",IFERROR(VLOOKUP("Nombre d'abonnés année 1",'Hypothèses'!$A$5:$B$24,2,FALSE)*VLOOKUP("Abonnement mensuel moyen",'Hypothèses'!$A$5:$B$24,2,FALSE),0))</f>
        <v/>
      </c>
      <c r="G58" s="52">
        <f>IF(A58="","",IFERROR(E58*VLOOKUP("Taux de CA coaching / stages",'Hypothèses'!$A$5:$B$24,2,FALSE),0))</f>
        <v/>
      </c>
      <c r="H58" s="52">
        <f>IF(A58="","",IFERROR(D58*VLOOKUP("Panier moyen bar / boutique",'Hypothèses'!$A$5:$B$24,2,FALSE),0))</f>
        <v/>
      </c>
      <c r="I58" s="52">
        <f>IF(A58="","",SUM(E58:H58))</f>
        <v/>
      </c>
      <c r="J58" s="52">
        <f>IF(A58="","",IFERROR(I58*VLOOKUP("Taux de TVA principal",'Hypothèses'!$A$5:$B$24,2,FALSE),0))</f>
        <v/>
      </c>
      <c r="K58" s="52">
        <f>IF(A58="","",IFERROR(I58*VLOOKUP("Taux de charges variables",'Hypothèses'!$A$5:$B$24,2,FALSE),0))</f>
        <v/>
      </c>
      <c r="L58" s="52">
        <f>IF(A58="","",IFERROR(VLOOKUP("Masse salariale annuelle",'Hypothèses'!$A$5:$B$24,2,FALSE)/12,0))</f>
        <v/>
      </c>
      <c r="M58" s="52">
        <f>IF(A58="","",IFERROR(VLOOKUP("Loyer annuel",'Hypothèses'!$A$5:$B$24,2,FALSE)/12,0))</f>
        <v/>
      </c>
      <c r="N58" s="52">
        <f>IF(A58="","",IFERROR(VLOOKUP("Budget marketing annuel",'Hypothèses'!$A$5:$B$24,2,FALSE)/12,0))</f>
        <v/>
      </c>
      <c r="O58" s="52">
        <f>IF(A58="","",IFERROR(VLOOKUP("Autres charges mensuelles",'Hypothèses'!$A$5:$B$24,2,FALSE),0))</f>
        <v/>
      </c>
      <c r="P58" s="52">
        <f>IF(A58="","",IFERROR(I58-SUM(K58:O58),0))</f>
        <v/>
      </c>
      <c r="Q58" s="52">
        <f>IF(A58="","",IFERROR('Investissements'!$K$105/12,0))</f>
        <v/>
      </c>
      <c r="R58" s="52">
        <f>IF(A58="","",IFERROR(P58-Q58,0))</f>
        <v/>
      </c>
      <c r="S58" s="52">
        <f>IF(A58="","",'Hypothèses'!$B$21+SUM($P$5:P58)-SUMIFS('Investissements'!$I$5:$I$104,'Investissements'!$D$5:$D$104,"&lt;="&amp;(A58+32-DAY(A58+32))))</f>
        <v/>
      </c>
      <c r="T58" s="59">
        <f>IF(A58="","",IFERROR(P58/I58,0))</f>
        <v/>
      </c>
      <c r="U58" s="59">
        <f>IF(A58="","",IFERROR(VLOOKUP("Taux d'occupation cible année 1",'Hypothèses'!$A$5:$B$24,2,FALSE),0))</f>
        <v/>
      </c>
    </row>
    <row r="59">
      <c r="A59" s="47" t="n"/>
      <c r="B59" s="55" t="n"/>
      <c r="C59" s="56">
        <f>IF(A59="","",IFERROR((VLOOKUP("Nombre de terrains indoor",'Hypothèses'!$A$5:$B$24,2,FALSE)+VLOOKUP("Nombre de terrains outdoor",'Hypothèses'!$A$5:$B$24,2,FALSE))*VLOOKUP("Heures d'ouverture par terrain / mois",'Hypothèses'!$A$5:$B$24,2,FALSE),0))</f>
        <v/>
      </c>
      <c r="D59" s="56">
        <f>IF(A59="","",IFERROR(C59*B59,0))</f>
        <v/>
      </c>
      <c r="E59" s="50">
        <f>IF(A59="","",IFERROR(D59*VLOOKUP("Prix moyen réservation terrain",'Hypothèses'!$A$5:$B$24,2,FALSE),0))</f>
        <v/>
      </c>
      <c r="F59" s="50">
        <f>IF(A59="","",IFERROR(VLOOKUP("Nombre d'abonnés année 1",'Hypothèses'!$A$5:$B$24,2,FALSE)*VLOOKUP("Abonnement mensuel moyen",'Hypothèses'!$A$5:$B$24,2,FALSE),0))</f>
        <v/>
      </c>
      <c r="G59" s="50">
        <f>IF(A59="","",IFERROR(E59*VLOOKUP("Taux de CA coaching / stages",'Hypothèses'!$A$5:$B$24,2,FALSE),0))</f>
        <v/>
      </c>
      <c r="H59" s="50">
        <f>IF(A59="","",IFERROR(D59*VLOOKUP("Panier moyen bar / boutique",'Hypothèses'!$A$5:$B$24,2,FALSE),0))</f>
        <v/>
      </c>
      <c r="I59" s="50">
        <f>IF(A59="","",SUM(E59:H59))</f>
        <v/>
      </c>
      <c r="J59" s="50">
        <f>IF(A59="","",IFERROR(I59*VLOOKUP("Taux de TVA principal",'Hypothèses'!$A$5:$B$24,2,FALSE),0))</f>
        <v/>
      </c>
      <c r="K59" s="50">
        <f>IF(A59="","",IFERROR(I59*VLOOKUP("Taux de charges variables",'Hypothèses'!$A$5:$B$24,2,FALSE),0))</f>
        <v/>
      </c>
      <c r="L59" s="50">
        <f>IF(A59="","",IFERROR(VLOOKUP("Masse salariale annuelle",'Hypothèses'!$A$5:$B$24,2,FALSE)/12,0))</f>
        <v/>
      </c>
      <c r="M59" s="50">
        <f>IF(A59="","",IFERROR(VLOOKUP("Loyer annuel",'Hypothèses'!$A$5:$B$24,2,FALSE)/12,0))</f>
        <v/>
      </c>
      <c r="N59" s="50">
        <f>IF(A59="","",IFERROR(VLOOKUP("Budget marketing annuel",'Hypothèses'!$A$5:$B$24,2,FALSE)/12,0))</f>
        <v/>
      </c>
      <c r="O59" s="50">
        <f>IF(A59="","",IFERROR(VLOOKUP("Autres charges mensuelles",'Hypothèses'!$A$5:$B$24,2,FALSE),0))</f>
        <v/>
      </c>
      <c r="P59" s="50">
        <f>IF(A59="","",IFERROR(I59-SUM(K59:O59),0))</f>
        <v/>
      </c>
      <c r="Q59" s="50">
        <f>IF(A59="","",IFERROR('Investissements'!$K$105/12,0))</f>
        <v/>
      </c>
      <c r="R59" s="50">
        <f>IF(A59="","",IFERROR(P59-Q59,0))</f>
        <v/>
      </c>
      <c r="S59" s="50">
        <f>IF(A59="","",'Hypothèses'!$B$21+SUM($P$5:P59)-SUMIFS('Investissements'!$I$5:$I$104,'Investissements'!$D$5:$D$104,"&lt;="&amp;(A59+32-DAY(A59+32))))</f>
        <v/>
      </c>
      <c r="T59" s="57">
        <f>IF(A59="","",IFERROR(P59/I59,0))</f>
        <v/>
      </c>
      <c r="U59" s="57">
        <f>IF(A59="","",IFERROR(VLOOKUP("Taux d'occupation cible année 1",'Hypothèses'!$A$5:$B$24,2,FALSE),0))</f>
        <v/>
      </c>
    </row>
    <row r="60">
      <c r="A60" s="47" t="n"/>
      <c r="B60" s="55" t="n"/>
      <c r="C60" s="58">
        <f>IF(A60="","",IFERROR((VLOOKUP("Nombre de terrains indoor",'Hypothèses'!$A$5:$B$24,2,FALSE)+VLOOKUP("Nombre de terrains outdoor",'Hypothèses'!$A$5:$B$24,2,FALSE))*VLOOKUP("Heures d'ouverture par terrain / mois",'Hypothèses'!$A$5:$B$24,2,FALSE),0))</f>
        <v/>
      </c>
      <c r="D60" s="58">
        <f>IF(A60="","",IFERROR(C60*B60,0))</f>
        <v/>
      </c>
      <c r="E60" s="52">
        <f>IF(A60="","",IFERROR(D60*VLOOKUP("Prix moyen réservation terrain",'Hypothèses'!$A$5:$B$24,2,FALSE),0))</f>
        <v/>
      </c>
      <c r="F60" s="52">
        <f>IF(A60="","",IFERROR(VLOOKUP("Nombre d'abonnés année 1",'Hypothèses'!$A$5:$B$24,2,FALSE)*VLOOKUP("Abonnement mensuel moyen",'Hypothèses'!$A$5:$B$24,2,FALSE),0))</f>
        <v/>
      </c>
      <c r="G60" s="52">
        <f>IF(A60="","",IFERROR(E60*VLOOKUP("Taux de CA coaching / stages",'Hypothèses'!$A$5:$B$24,2,FALSE),0))</f>
        <v/>
      </c>
      <c r="H60" s="52">
        <f>IF(A60="","",IFERROR(D60*VLOOKUP("Panier moyen bar / boutique",'Hypothèses'!$A$5:$B$24,2,FALSE),0))</f>
        <v/>
      </c>
      <c r="I60" s="52">
        <f>IF(A60="","",SUM(E60:H60))</f>
        <v/>
      </c>
      <c r="J60" s="52">
        <f>IF(A60="","",IFERROR(I60*VLOOKUP("Taux de TVA principal",'Hypothèses'!$A$5:$B$24,2,FALSE),0))</f>
        <v/>
      </c>
      <c r="K60" s="52">
        <f>IF(A60="","",IFERROR(I60*VLOOKUP("Taux de charges variables",'Hypothèses'!$A$5:$B$24,2,FALSE),0))</f>
        <v/>
      </c>
      <c r="L60" s="52">
        <f>IF(A60="","",IFERROR(VLOOKUP("Masse salariale annuelle",'Hypothèses'!$A$5:$B$24,2,FALSE)/12,0))</f>
        <v/>
      </c>
      <c r="M60" s="52">
        <f>IF(A60="","",IFERROR(VLOOKUP("Loyer annuel",'Hypothèses'!$A$5:$B$24,2,FALSE)/12,0))</f>
        <v/>
      </c>
      <c r="N60" s="52">
        <f>IF(A60="","",IFERROR(VLOOKUP("Budget marketing annuel",'Hypothèses'!$A$5:$B$24,2,FALSE)/12,0))</f>
        <v/>
      </c>
      <c r="O60" s="52">
        <f>IF(A60="","",IFERROR(VLOOKUP("Autres charges mensuelles",'Hypothèses'!$A$5:$B$24,2,FALSE),0))</f>
        <v/>
      </c>
      <c r="P60" s="52">
        <f>IF(A60="","",IFERROR(I60-SUM(K60:O60),0))</f>
        <v/>
      </c>
      <c r="Q60" s="52">
        <f>IF(A60="","",IFERROR('Investissements'!$K$105/12,0))</f>
        <v/>
      </c>
      <c r="R60" s="52">
        <f>IF(A60="","",IFERROR(P60-Q60,0))</f>
        <v/>
      </c>
      <c r="S60" s="52">
        <f>IF(A60="","",'Hypothèses'!$B$21+SUM($P$5:P60)-SUMIFS('Investissements'!$I$5:$I$104,'Investissements'!$D$5:$D$104,"&lt;="&amp;(A60+32-DAY(A60+32))))</f>
        <v/>
      </c>
      <c r="T60" s="59">
        <f>IF(A60="","",IFERROR(P60/I60,0))</f>
        <v/>
      </c>
      <c r="U60" s="59">
        <f>IF(A60="","",IFERROR(VLOOKUP("Taux d'occupation cible année 1",'Hypothèses'!$A$5:$B$24,2,FALSE),0))</f>
        <v/>
      </c>
    </row>
    <row r="61">
      <c r="A61" s="47" t="n"/>
      <c r="B61" s="55" t="n"/>
      <c r="C61" s="56">
        <f>IF(A61="","",IFERROR((VLOOKUP("Nombre de terrains indoor",'Hypothèses'!$A$5:$B$24,2,FALSE)+VLOOKUP("Nombre de terrains outdoor",'Hypothèses'!$A$5:$B$24,2,FALSE))*VLOOKUP("Heures d'ouverture par terrain / mois",'Hypothèses'!$A$5:$B$24,2,FALSE),0))</f>
        <v/>
      </c>
      <c r="D61" s="56">
        <f>IF(A61="","",IFERROR(C61*B61,0))</f>
        <v/>
      </c>
      <c r="E61" s="50">
        <f>IF(A61="","",IFERROR(D61*VLOOKUP("Prix moyen réservation terrain",'Hypothèses'!$A$5:$B$24,2,FALSE),0))</f>
        <v/>
      </c>
      <c r="F61" s="50">
        <f>IF(A61="","",IFERROR(VLOOKUP("Nombre d'abonnés année 1",'Hypothèses'!$A$5:$B$24,2,FALSE)*VLOOKUP("Abonnement mensuel moyen",'Hypothèses'!$A$5:$B$24,2,FALSE),0))</f>
        <v/>
      </c>
      <c r="G61" s="50">
        <f>IF(A61="","",IFERROR(E61*VLOOKUP("Taux de CA coaching / stages",'Hypothèses'!$A$5:$B$24,2,FALSE),0))</f>
        <v/>
      </c>
      <c r="H61" s="50">
        <f>IF(A61="","",IFERROR(D61*VLOOKUP("Panier moyen bar / boutique",'Hypothèses'!$A$5:$B$24,2,FALSE),0))</f>
        <v/>
      </c>
      <c r="I61" s="50">
        <f>IF(A61="","",SUM(E61:H61))</f>
        <v/>
      </c>
      <c r="J61" s="50">
        <f>IF(A61="","",IFERROR(I61*VLOOKUP("Taux de TVA principal",'Hypothèses'!$A$5:$B$24,2,FALSE),0))</f>
        <v/>
      </c>
      <c r="K61" s="50">
        <f>IF(A61="","",IFERROR(I61*VLOOKUP("Taux de charges variables",'Hypothèses'!$A$5:$B$24,2,FALSE),0))</f>
        <v/>
      </c>
      <c r="L61" s="50">
        <f>IF(A61="","",IFERROR(VLOOKUP("Masse salariale annuelle",'Hypothèses'!$A$5:$B$24,2,FALSE)/12,0))</f>
        <v/>
      </c>
      <c r="M61" s="50">
        <f>IF(A61="","",IFERROR(VLOOKUP("Loyer annuel",'Hypothèses'!$A$5:$B$24,2,FALSE)/12,0))</f>
        <v/>
      </c>
      <c r="N61" s="50">
        <f>IF(A61="","",IFERROR(VLOOKUP("Budget marketing annuel",'Hypothèses'!$A$5:$B$24,2,FALSE)/12,0))</f>
        <v/>
      </c>
      <c r="O61" s="50">
        <f>IF(A61="","",IFERROR(VLOOKUP("Autres charges mensuelles",'Hypothèses'!$A$5:$B$24,2,FALSE),0))</f>
        <v/>
      </c>
      <c r="P61" s="50">
        <f>IF(A61="","",IFERROR(I61-SUM(K61:O61),0))</f>
        <v/>
      </c>
      <c r="Q61" s="50">
        <f>IF(A61="","",IFERROR('Investissements'!$K$105/12,0))</f>
        <v/>
      </c>
      <c r="R61" s="50">
        <f>IF(A61="","",IFERROR(P61-Q61,0))</f>
        <v/>
      </c>
      <c r="S61" s="50">
        <f>IF(A61="","",'Hypothèses'!$B$21+SUM($P$5:P61)-SUMIFS('Investissements'!$I$5:$I$104,'Investissements'!$D$5:$D$104,"&lt;="&amp;(A61+32-DAY(A61+32))))</f>
        <v/>
      </c>
      <c r="T61" s="57">
        <f>IF(A61="","",IFERROR(P61/I61,0))</f>
        <v/>
      </c>
      <c r="U61" s="57">
        <f>IF(A61="","",IFERROR(VLOOKUP("Taux d'occupation cible année 1",'Hypothèses'!$A$5:$B$24,2,FALSE),0))</f>
        <v/>
      </c>
    </row>
    <row r="62">
      <c r="A62" s="47" t="n"/>
      <c r="B62" s="55" t="n"/>
      <c r="C62" s="58">
        <f>IF(A62="","",IFERROR((VLOOKUP("Nombre de terrains indoor",'Hypothèses'!$A$5:$B$24,2,FALSE)+VLOOKUP("Nombre de terrains outdoor",'Hypothèses'!$A$5:$B$24,2,FALSE))*VLOOKUP("Heures d'ouverture par terrain / mois",'Hypothèses'!$A$5:$B$24,2,FALSE),0))</f>
        <v/>
      </c>
      <c r="D62" s="58">
        <f>IF(A62="","",IFERROR(C62*B62,0))</f>
        <v/>
      </c>
      <c r="E62" s="52">
        <f>IF(A62="","",IFERROR(D62*VLOOKUP("Prix moyen réservation terrain",'Hypothèses'!$A$5:$B$24,2,FALSE),0))</f>
        <v/>
      </c>
      <c r="F62" s="52">
        <f>IF(A62="","",IFERROR(VLOOKUP("Nombre d'abonnés année 1",'Hypothèses'!$A$5:$B$24,2,FALSE)*VLOOKUP("Abonnement mensuel moyen",'Hypothèses'!$A$5:$B$24,2,FALSE),0))</f>
        <v/>
      </c>
      <c r="G62" s="52">
        <f>IF(A62="","",IFERROR(E62*VLOOKUP("Taux de CA coaching / stages",'Hypothèses'!$A$5:$B$24,2,FALSE),0))</f>
        <v/>
      </c>
      <c r="H62" s="52">
        <f>IF(A62="","",IFERROR(D62*VLOOKUP("Panier moyen bar / boutique",'Hypothèses'!$A$5:$B$24,2,FALSE),0))</f>
        <v/>
      </c>
      <c r="I62" s="52">
        <f>IF(A62="","",SUM(E62:H62))</f>
        <v/>
      </c>
      <c r="J62" s="52">
        <f>IF(A62="","",IFERROR(I62*VLOOKUP("Taux de TVA principal",'Hypothèses'!$A$5:$B$24,2,FALSE),0))</f>
        <v/>
      </c>
      <c r="K62" s="52">
        <f>IF(A62="","",IFERROR(I62*VLOOKUP("Taux de charges variables",'Hypothèses'!$A$5:$B$24,2,FALSE),0))</f>
        <v/>
      </c>
      <c r="L62" s="52">
        <f>IF(A62="","",IFERROR(VLOOKUP("Masse salariale annuelle",'Hypothèses'!$A$5:$B$24,2,FALSE)/12,0))</f>
        <v/>
      </c>
      <c r="M62" s="52">
        <f>IF(A62="","",IFERROR(VLOOKUP("Loyer annuel",'Hypothèses'!$A$5:$B$24,2,FALSE)/12,0))</f>
        <v/>
      </c>
      <c r="N62" s="52">
        <f>IF(A62="","",IFERROR(VLOOKUP("Budget marketing annuel",'Hypothèses'!$A$5:$B$24,2,FALSE)/12,0))</f>
        <v/>
      </c>
      <c r="O62" s="52">
        <f>IF(A62="","",IFERROR(VLOOKUP("Autres charges mensuelles",'Hypothèses'!$A$5:$B$24,2,FALSE),0))</f>
        <v/>
      </c>
      <c r="P62" s="52">
        <f>IF(A62="","",IFERROR(I62-SUM(K62:O62),0))</f>
        <v/>
      </c>
      <c r="Q62" s="52">
        <f>IF(A62="","",IFERROR('Investissements'!$K$105/12,0))</f>
        <v/>
      </c>
      <c r="R62" s="52">
        <f>IF(A62="","",IFERROR(P62-Q62,0))</f>
        <v/>
      </c>
      <c r="S62" s="52">
        <f>IF(A62="","",'Hypothèses'!$B$21+SUM($P$5:P62)-SUMIFS('Investissements'!$I$5:$I$104,'Investissements'!$D$5:$D$104,"&lt;="&amp;(A62+32-DAY(A62+32))))</f>
        <v/>
      </c>
      <c r="T62" s="59">
        <f>IF(A62="","",IFERROR(P62/I62,0))</f>
        <v/>
      </c>
      <c r="U62" s="59">
        <f>IF(A62="","",IFERROR(VLOOKUP("Taux d'occupation cible année 1",'Hypothèses'!$A$5:$B$24,2,FALSE),0))</f>
        <v/>
      </c>
    </row>
    <row r="63">
      <c r="A63" s="47" t="n"/>
      <c r="B63" s="55" t="n"/>
      <c r="C63" s="56">
        <f>IF(A63="","",IFERROR((VLOOKUP("Nombre de terrains indoor",'Hypothèses'!$A$5:$B$24,2,FALSE)+VLOOKUP("Nombre de terrains outdoor",'Hypothèses'!$A$5:$B$24,2,FALSE))*VLOOKUP("Heures d'ouverture par terrain / mois",'Hypothèses'!$A$5:$B$24,2,FALSE),0))</f>
        <v/>
      </c>
      <c r="D63" s="56">
        <f>IF(A63="","",IFERROR(C63*B63,0))</f>
        <v/>
      </c>
      <c r="E63" s="50">
        <f>IF(A63="","",IFERROR(D63*VLOOKUP("Prix moyen réservation terrain",'Hypothèses'!$A$5:$B$24,2,FALSE),0))</f>
        <v/>
      </c>
      <c r="F63" s="50">
        <f>IF(A63="","",IFERROR(VLOOKUP("Nombre d'abonnés année 1",'Hypothèses'!$A$5:$B$24,2,FALSE)*VLOOKUP("Abonnement mensuel moyen",'Hypothèses'!$A$5:$B$24,2,FALSE),0))</f>
        <v/>
      </c>
      <c r="G63" s="50">
        <f>IF(A63="","",IFERROR(E63*VLOOKUP("Taux de CA coaching / stages",'Hypothèses'!$A$5:$B$24,2,FALSE),0))</f>
        <v/>
      </c>
      <c r="H63" s="50">
        <f>IF(A63="","",IFERROR(D63*VLOOKUP("Panier moyen bar / boutique",'Hypothèses'!$A$5:$B$24,2,FALSE),0))</f>
        <v/>
      </c>
      <c r="I63" s="50">
        <f>IF(A63="","",SUM(E63:H63))</f>
        <v/>
      </c>
      <c r="J63" s="50">
        <f>IF(A63="","",IFERROR(I63*VLOOKUP("Taux de TVA principal",'Hypothèses'!$A$5:$B$24,2,FALSE),0))</f>
        <v/>
      </c>
      <c r="K63" s="50">
        <f>IF(A63="","",IFERROR(I63*VLOOKUP("Taux de charges variables",'Hypothèses'!$A$5:$B$24,2,FALSE),0))</f>
        <v/>
      </c>
      <c r="L63" s="50">
        <f>IF(A63="","",IFERROR(VLOOKUP("Masse salariale annuelle",'Hypothèses'!$A$5:$B$24,2,FALSE)/12,0))</f>
        <v/>
      </c>
      <c r="M63" s="50">
        <f>IF(A63="","",IFERROR(VLOOKUP("Loyer annuel",'Hypothèses'!$A$5:$B$24,2,FALSE)/12,0))</f>
        <v/>
      </c>
      <c r="N63" s="50">
        <f>IF(A63="","",IFERROR(VLOOKUP("Budget marketing annuel",'Hypothèses'!$A$5:$B$24,2,FALSE)/12,0))</f>
        <v/>
      </c>
      <c r="O63" s="50">
        <f>IF(A63="","",IFERROR(VLOOKUP("Autres charges mensuelles",'Hypothèses'!$A$5:$B$24,2,FALSE),0))</f>
        <v/>
      </c>
      <c r="P63" s="50">
        <f>IF(A63="","",IFERROR(I63-SUM(K63:O63),0))</f>
        <v/>
      </c>
      <c r="Q63" s="50">
        <f>IF(A63="","",IFERROR('Investissements'!$K$105/12,0))</f>
        <v/>
      </c>
      <c r="R63" s="50">
        <f>IF(A63="","",IFERROR(P63-Q63,0))</f>
        <v/>
      </c>
      <c r="S63" s="50">
        <f>IF(A63="","",'Hypothèses'!$B$21+SUM($P$5:P63)-SUMIFS('Investissements'!$I$5:$I$104,'Investissements'!$D$5:$D$104,"&lt;="&amp;(A63+32-DAY(A63+32))))</f>
        <v/>
      </c>
      <c r="T63" s="57">
        <f>IF(A63="","",IFERROR(P63/I63,0))</f>
        <v/>
      </c>
      <c r="U63" s="57">
        <f>IF(A63="","",IFERROR(VLOOKUP("Taux d'occupation cible année 1",'Hypothèses'!$A$5:$B$24,2,FALSE),0))</f>
        <v/>
      </c>
    </row>
    <row r="64">
      <c r="A64" s="47" t="n"/>
      <c r="B64" s="55" t="n"/>
      <c r="C64" s="58">
        <f>IF(A64="","",IFERROR((VLOOKUP("Nombre de terrains indoor",'Hypothèses'!$A$5:$B$24,2,FALSE)+VLOOKUP("Nombre de terrains outdoor",'Hypothèses'!$A$5:$B$24,2,FALSE))*VLOOKUP("Heures d'ouverture par terrain / mois",'Hypothèses'!$A$5:$B$24,2,FALSE),0))</f>
        <v/>
      </c>
      <c r="D64" s="58">
        <f>IF(A64="","",IFERROR(C64*B64,0))</f>
        <v/>
      </c>
      <c r="E64" s="52">
        <f>IF(A64="","",IFERROR(D64*VLOOKUP("Prix moyen réservation terrain",'Hypothèses'!$A$5:$B$24,2,FALSE),0))</f>
        <v/>
      </c>
      <c r="F64" s="52">
        <f>IF(A64="","",IFERROR(VLOOKUP("Nombre d'abonnés année 1",'Hypothèses'!$A$5:$B$24,2,FALSE)*VLOOKUP("Abonnement mensuel moyen",'Hypothèses'!$A$5:$B$24,2,FALSE),0))</f>
        <v/>
      </c>
      <c r="G64" s="52">
        <f>IF(A64="","",IFERROR(E64*VLOOKUP("Taux de CA coaching / stages",'Hypothèses'!$A$5:$B$24,2,FALSE),0))</f>
        <v/>
      </c>
      <c r="H64" s="52">
        <f>IF(A64="","",IFERROR(D64*VLOOKUP("Panier moyen bar / boutique",'Hypothèses'!$A$5:$B$24,2,FALSE),0))</f>
        <v/>
      </c>
      <c r="I64" s="52">
        <f>IF(A64="","",SUM(E64:H64))</f>
        <v/>
      </c>
      <c r="J64" s="52">
        <f>IF(A64="","",IFERROR(I64*VLOOKUP("Taux de TVA principal",'Hypothèses'!$A$5:$B$24,2,FALSE),0))</f>
        <v/>
      </c>
      <c r="K64" s="52">
        <f>IF(A64="","",IFERROR(I64*VLOOKUP("Taux de charges variables",'Hypothèses'!$A$5:$B$24,2,FALSE),0))</f>
        <v/>
      </c>
      <c r="L64" s="52">
        <f>IF(A64="","",IFERROR(VLOOKUP("Masse salariale annuelle",'Hypothèses'!$A$5:$B$24,2,FALSE)/12,0))</f>
        <v/>
      </c>
      <c r="M64" s="52">
        <f>IF(A64="","",IFERROR(VLOOKUP("Loyer annuel",'Hypothèses'!$A$5:$B$24,2,FALSE)/12,0))</f>
        <v/>
      </c>
      <c r="N64" s="52">
        <f>IF(A64="","",IFERROR(VLOOKUP("Budget marketing annuel",'Hypothèses'!$A$5:$B$24,2,FALSE)/12,0))</f>
        <v/>
      </c>
      <c r="O64" s="52">
        <f>IF(A64="","",IFERROR(VLOOKUP("Autres charges mensuelles",'Hypothèses'!$A$5:$B$24,2,FALSE),0))</f>
        <v/>
      </c>
      <c r="P64" s="52">
        <f>IF(A64="","",IFERROR(I64-SUM(K64:O64),0))</f>
        <v/>
      </c>
      <c r="Q64" s="52">
        <f>IF(A64="","",IFERROR('Investissements'!$K$105/12,0))</f>
        <v/>
      </c>
      <c r="R64" s="52">
        <f>IF(A64="","",IFERROR(P64-Q64,0))</f>
        <v/>
      </c>
      <c r="S64" s="52">
        <f>IF(A64="","",'Hypothèses'!$B$21+SUM($P$5:P64)-SUMIFS('Investissements'!$I$5:$I$104,'Investissements'!$D$5:$D$104,"&lt;="&amp;(A64+32-DAY(A64+32))))</f>
        <v/>
      </c>
      <c r="T64" s="59">
        <f>IF(A64="","",IFERROR(P64/I64,0))</f>
        <v/>
      </c>
      <c r="U64" s="59">
        <f>IF(A64="","",IFERROR(VLOOKUP("Taux d'occupation cible année 1",'Hypothèses'!$A$5:$B$24,2,FALSE),0))</f>
        <v/>
      </c>
    </row>
    <row r="65">
      <c r="A65" s="47" t="n"/>
      <c r="B65" s="55" t="n"/>
      <c r="C65" s="56">
        <f>IF(A65="","",IFERROR((VLOOKUP("Nombre de terrains indoor",'Hypothèses'!$A$5:$B$24,2,FALSE)+VLOOKUP("Nombre de terrains outdoor",'Hypothèses'!$A$5:$B$24,2,FALSE))*VLOOKUP("Heures d'ouverture par terrain / mois",'Hypothèses'!$A$5:$B$24,2,FALSE),0))</f>
        <v/>
      </c>
      <c r="D65" s="56">
        <f>IF(A65="","",IFERROR(C65*B65,0))</f>
        <v/>
      </c>
      <c r="E65" s="50">
        <f>IF(A65="","",IFERROR(D65*VLOOKUP("Prix moyen réservation terrain",'Hypothèses'!$A$5:$B$24,2,FALSE),0))</f>
        <v/>
      </c>
      <c r="F65" s="50">
        <f>IF(A65="","",IFERROR(VLOOKUP("Nombre d'abonnés année 1",'Hypothèses'!$A$5:$B$24,2,FALSE)*VLOOKUP("Abonnement mensuel moyen",'Hypothèses'!$A$5:$B$24,2,FALSE),0))</f>
        <v/>
      </c>
      <c r="G65" s="50">
        <f>IF(A65="","",IFERROR(E65*VLOOKUP("Taux de CA coaching / stages",'Hypothèses'!$A$5:$B$24,2,FALSE),0))</f>
        <v/>
      </c>
      <c r="H65" s="50">
        <f>IF(A65="","",IFERROR(D65*VLOOKUP("Panier moyen bar / boutique",'Hypothèses'!$A$5:$B$24,2,FALSE),0))</f>
        <v/>
      </c>
      <c r="I65" s="50">
        <f>IF(A65="","",SUM(E65:H65))</f>
        <v/>
      </c>
      <c r="J65" s="50">
        <f>IF(A65="","",IFERROR(I65*VLOOKUP("Taux de TVA principal",'Hypothèses'!$A$5:$B$24,2,FALSE),0))</f>
        <v/>
      </c>
      <c r="K65" s="50">
        <f>IF(A65="","",IFERROR(I65*VLOOKUP("Taux de charges variables",'Hypothèses'!$A$5:$B$24,2,FALSE),0))</f>
        <v/>
      </c>
      <c r="L65" s="50">
        <f>IF(A65="","",IFERROR(VLOOKUP("Masse salariale annuelle",'Hypothèses'!$A$5:$B$24,2,FALSE)/12,0))</f>
        <v/>
      </c>
      <c r="M65" s="50">
        <f>IF(A65="","",IFERROR(VLOOKUP("Loyer annuel",'Hypothèses'!$A$5:$B$24,2,FALSE)/12,0))</f>
        <v/>
      </c>
      <c r="N65" s="50">
        <f>IF(A65="","",IFERROR(VLOOKUP("Budget marketing annuel",'Hypothèses'!$A$5:$B$24,2,FALSE)/12,0))</f>
        <v/>
      </c>
      <c r="O65" s="50">
        <f>IF(A65="","",IFERROR(VLOOKUP("Autres charges mensuelles",'Hypothèses'!$A$5:$B$24,2,FALSE),0))</f>
        <v/>
      </c>
      <c r="P65" s="50">
        <f>IF(A65="","",IFERROR(I65-SUM(K65:O65),0))</f>
        <v/>
      </c>
      <c r="Q65" s="50">
        <f>IF(A65="","",IFERROR('Investissements'!$K$105/12,0))</f>
        <v/>
      </c>
      <c r="R65" s="50">
        <f>IF(A65="","",IFERROR(P65-Q65,0))</f>
        <v/>
      </c>
      <c r="S65" s="50">
        <f>IF(A65="","",'Hypothèses'!$B$21+SUM($P$5:P65)-SUMIFS('Investissements'!$I$5:$I$104,'Investissements'!$D$5:$D$104,"&lt;="&amp;(A65+32-DAY(A65+32))))</f>
        <v/>
      </c>
      <c r="T65" s="57">
        <f>IF(A65="","",IFERROR(P65/I65,0))</f>
        <v/>
      </c>
      <c r="U65" s="57">
        <f>IF(A65="","",IFERROR(VLOOKUP("Taux d'occupation cible année 1",'Hypothèses'!$A$5:$B$24,2,FALSE),0))</f>
        <v/>
      </c>
    </row>
    <row r="66">
      <c r="A66" s="47" t="n"/>
      <c r="B66" s="55" t="n"/>
      <c r="C66" s="58">
        <f>IF(A66="","",IFERROR((VLOOKUP("Nombre de terrains indoor",'Hypothèses'!$A$5:$B$24,2,FALSE)+VLOOKUP("Nombre de terrains outdoor",'Hypothèses'!$A$5:$B$24,2,FALSE))*VLOOKUP("Heures d'ouverture par terrain / mois",'Hypothèses'!$A$5:$B$24,2,FALSE),0))</f>
        <v/>
      </c>
      <c r="D66" s="58">
        <f>IF(A66="","",IFERROR(C66*B66,0))</f>
        <v/>
      </c>
      <c r="E66" s="52">
        <f>IF(A66="","",IFERROR(D66*VLOOKUP("Prix moyen réservation terrain",'Hypothèses'!$A$5:$B$24,2,FALSE),0))</f>
        <v/>
      </c>
      <c r="F66" s="52">
        <f>IF(A66="","",IFERROR(VLOOKUP("Nombre d'abonnés année 1",'Hypothèses'!$A$5:$B$24,2,FALSE)*VLOOKUP("Abonnement mensuel moyen",'Hypothèses'!$A$5:$B$24,2,FALSE),0))</f>
        <v/>
      </c>
      <c r="G66" s="52">
        <f>IF(A66="","",IFERROR(E66*VLOOKUP("Taux de CA coaching / stages",'Hypothèses'!$A$5:$B$24,2,FALSE),0))</f>
        <v/>
      </c>
      <c r="H66" s="52">
        <f>IF(A66="","",IFERROR(D66*VLOOKUP("Panier moyen bar / boutique",'Hypothèses'!$A$5:$B$24,2,FALSE),0))</f>
        <v/>
      </c>
      <c r="I66" s="52">
        <f>IF(A66="","",SUM(E66:H66))</f>
        <v/>
      </c>
      <c r="J66" s="52">
        <f>IF(A66="","",IFERROR(I66*VLOOKUP("Taux de TVA principal",'Hypothèses'!$A$5:$B$24,2,FALSE),0))</f>
        <v/>
      </c>
      <c r="K66" s="52">
        <f>IF(A66="","",IFERROR(I66*VLOOKUP("Taux de charges variables",'Hypothèses'!$A$5:$B$24,2,FALSE),0))</f>
        <v/>
      </c>
      <c r="L66" s="52">
        <f>IF(A66="","",IFERROR(VLOOKUP("Masse salariale annuelle",'Hypothèses'!$A$5:$B$24,2,FALSE)/12,0))</f>
        <v/>
      </c>
      <c r="M66" s="52">
        <f>IF(A66="","",IFERROR(VLOOKUP("Loyer annuel",'Hypothèses'!$A$5:$B$24,2,FALSE)/12,0))</f>
        <v/>
      </c>
      <c r="N66" s="52">
        <f>IF(A66="","",IFERROR(VLOOKUP("Budget marketing annuel",'Hypothèses'!$A$5:$B$24,2,FALSE)/12,0))</f>
        <v/>
      </c>
      <c r="O66" s="52">
        <f>IF(A66="","",IFERROR(VLOOKUP("Autres charges mensuelles",'Hypothèses'!$A$5:$B$24,2,FALSE),0))</f>
        <v/>
      </c>
      <c r="P66" s="52">
        <f>IF(A66="","",IFERROR(I66-SUM(K66:O66),0))</f>
        <v/>
      </c>
      <c r="Q66" s="52">
        <f>IF(A66="","",IFERROR('Investissements'!$K$105/12,0))</f>
        <v/>
      </c>
      <c r="R66" s="52">
        <f>IF(A66="","",IFERROR(P66-Q66,0))</f>
        <v/>
      </c>
      <c r="S66" s="52">
        <f>IF(A66="","",'Hypothèses'!$B$21+SUM($P$5:P66)-SUMIFS('Investissements'!$I$5:$I$104,'Investissements'!$D$5:$D$104,"&lt;="&amp;(A66+32-DAY(A66+32))))</f>
        <v/>
      </c>
      <c r="T66" s="59">
        <f>IF(A66="","",IFERROR(P66/I66,0))</f>
        <v/>
      </c>
      <c r="U66" s="59">
        <f>IF(A66="","",IFERROR(VLOOKUP("Taux d'occupation cible année 1",'Hypothèses'!$A$5:$B$24,2,FALSE),0))</f>
        <v/>
      </c>
    </row>
    <row r="67">
      <c r="A67" s="47" t="n"/>
      <c r="B67" s="55" t="n"/>
      <c r="C67" s="56">
        <f>IF(A67="","",IFERROR((VLOOKUP("Nombre de terrains indoor",'Hypothèses'!$A$5:$B$24,2,FALSE)+VLOOKUP("Nombre de terrains outdoor",'Hypothèses'!$A$5:$B$24,2,FALSE))*VLOOKUP("Heures d'ouverture par terrain / mois",'Hypothèses'!$A$5:$B$24,2,FALSE),0))</f>
        <v/>
      </c>
      <c r="D67" s="56">
        <f>IF(A67="","",IFERROR(C67*B67,0))</f>
        <v/>
      </c>
      <c r="E67" s="50">
        <f>IF(A67="","",IFERROR(D67*VLOOKUP("Prix moyen réservation terrain",'Hypothèses'!$A$5:$B$24,2,FALSE),0))</f>
        <v/>
      </c>
      <c r="F67" s="50">
        <f>IF(A67="","",IFERROR(VLOOKUP("Nombre d'abonnés année 1",'Hypothèses'!$A$5:$B$24,2,FALSE)*VLOOKUP("Abonnement mensuel moyen",'Hypothèses'!$A$5:$B$24,2,FALSE),0))</f>
        <v/>
      </c>
      <c r="G67" s="50">
        <f>IF(A67="","",IFERROR(E67*VLOOKUP("Taux de CA coaching / stages",'Hypothèses'!$A$5:$B$24,2,FALSE),0))</f>
        <v/>
      </c>
      <c r="H67" s="50">
        <f>IF(A67="","",IFERROR(D67*VLOOKUP("Panier moyen bar / boutique",'Hypothèses'!$A$5:$B$24,2,FALSE),0))</f>
        <v/>
      </c>
      <c r="I67" s="50">
        <f>IF(A67="","",SUM(E67:H67))</f>
        <v/>
      </c>
      <c r="J67" s="50">
        <f>IF(A67="","",IFERROR(I67*VLOOKUP("Taux de TVA principal",'Hypothèses'!$A$5:$B$24,2,FALSE),0))</f>
        <v/>
      </c>
      <c r="K67" s="50">
        <f>IF(A67="","",IFERROR(I67*VLOOKUP("Taux de charges variables",'Hypothèses'!$A$5:$B$24,2,FALSE),0))</f>
        <v/>
      </c>
      <c r="L67" s="50">
        <f>IF(A67="","",IFERROR(VLOOKUP("Masse salariale annuelle",'Hypothèses'!$A$5:$B$24,2,FALSE)/12,0))</f>
        <v/>
      </c>
      <c r="M67" s="50">
        <f>IF(A67="","",IFERROR(VLOOKUP("Loyer annuel",'Hypothèses'!$A$5:$B$24,2,FALSE)/12,0))</f>
        <v/>
      </c>
      <c r="N67" s="50">
        <f>IF(A67="","",IFERROR(VLOOKUP("Budget marketing annuel",'Hypothèses'!$A$5:$B$24,2,FALSE)/12,0))</f>
        <v/>
      </c>
      <c r="O67" s="50">
        <f>IF(A67="","",IFERROR(VLOOKUP("Autres charges mensuelles",'Hypothèses'!$A$5:$B$24,2,FALSE),0))</f>
        <v/>
      </c>
      <c r="P67" s="50">
        <f>IF(A67="","",IFERROR(I67-SUM(K67:O67),0))</f>
        <v/>
      </c>
      <c r="Q67" s="50">
        <f>IF(A67="","",IFERROR('Investissements'!$K$105/12,0))</f>
        <v/>
      </c>
      <c r="R67" s="50">
        <f>IF(A67="","",IFERROR(P67-Q67,0))</f>
        <v/>
      </c>
      <c r="S67" s="50">
        <f>IF(A67="","",'Hypothèses'!$B$21+SUM($P$5:P67)-SUMIFS('Investissements'!$I$5:$I$104,'Investissements'!$D$5:$D$104,"&lt;="&amp;(A67+32-DAY(A67+32))))</f>
        <v/>
      </c>
      <c r="T67" s="57">
        <f>IF(A67="","",IFERROR(P67/I67,0))</f>
        <v/>
      </c>
      <c r="U67" s="57">
        <f>IF(A67="","",IFERROR(VLOOKUP("Taux d'occupation cible année 1",'Hypothèses'!$A$5:$B$24,2,FALSE),0))</f>
        <v/>
      </c>
    </row>
    <row r="68">
      <c r="A68" s="47" t="n"/>
      <c r="B68" s="55" t="n"/>
      <c r="C68" s="58">
        <f>IF(A68="","",IFERROR((VLOOKUP("Nombre de terrains indoor",'Hypothèses'!$A$5:$B$24,2,FALSE)+VLOOKUP("Nombre de terrains outdoor",'Hypothèses'!$A$5:$B$24,2,FALSE))*VLOOKUP("Heures d'ouverture par terrain / mois",'Hypothèses'!$A$5:$B$24,2,FALSE),0))</f>
        <v/>
      </c>
      <c r="D68" s="58">
        <f>IF(A68="","",IFERROR(C68*B68,0))</f>
        <v/>
      </c>
      <c r="E68" s="52">
        <f>IF(A68="","",IFERROR(D68*VLOOKUP("Prix moyen réservation terrain",'Hypothèses'!$A$5:$B$24,2,FALSE),0))</f>
        <v/>
      </c>
      <c r="F68" s="52">
        <f>IF(A68="","",IFERROR(VLOOKUP("Nombre d'abonnés année 1",'Hypothèses'!$A$5:$B$24,2,FALSE)*VLOOKUP("Abonnement mensuel moyen",'Hypothèses'!$A$5:$B$24,2,FALSE),0))</f>
        <v/>
      </c>
      <c r="G68" s="52">
        <f>IF(A68="","",IFERROR(E68*VLOOKUP("Taux de CA coaching / stages",'Hypothèses'!$A$5:$B$24,2,FALSE),0))</f>
        <v/>
      </c>
      <c r="H68" s="52">
        <f>IF(A68="","",IFERROR(D68*VLOOKUP("Panier moyen bar / boutique",'Hypothèses'!$A$5:$B$24,2,FALSE),0))</f>
        <v/>
      </c>
      <c r="I68" s="52">
        <f>IF(A68="","",SUM(E68:H68))</f>
        <v/>
      </c>
      <c r="J68" s="52">
        <f>IF(A68="","",IFERROR(I68*VLOOKUP("Taux de TVA principal",'Hypothèses'!$A$5:$B$24,2,FALSE),0))</f>
        <v/>
      </c>
      <c r="K68" s="52">
        <f>IF(A68="","",IFERROR(I68*VLOOKUP("Taux de charges variables",'Hypothèses'!$A$5:$B$24,2,FALSE),0))</f>
        <v/>
      </c>
      <c r="L68" s="52">
        <f>IF(A68="","",IFERROR(VLOOKUP("Masse salariale annuelle",'Hypothèses'!$A$5:$B$24,2,FALSE)/12,0))</f>
        <v/>
      </c>
      <c r="M68" s="52">
        <f>IF(A68="","",IFERROR(VLOOKUP("Loyer annuel",'Hypothèses'!$A$5:$B$24,2,FALSE)/12,0))</f>
        <v/>
      </c>
      <c r="N68" s="52">
        <f>IF(A68="","",IFERROR(VLOOKUP("Budget marketing annuel",'Hypothèses'!$A$5:$B$24,2,FALSE)/12,0))</f>
        <v/>
      </c>
      <c r="O68" s="52">
        <f>IF(A68="","",IFERROR(VLOOKUP("Autres charges mensuelles",'Hypothèses'!$A$5:$B$24,2,FALSE),0))</f>
        <v/>
      </c>
      <c r="P68" s="52">
        <f>IF(A68="","",IFERROR(I68-SUM(K68:O68),0))</f>
        <v/>
      </c>
      <c r="Q68" s="52">
        <f>IF(A68="","",IFERROR('Investissements'!$K$105/12,0))</f>
        <v/>
      </c>
      <c r="R68" s="52">
        <f>IF(A68="","",IFERROR(P68-Q68,0))</f>
        <v/>
      </c>
      <c r="S68" s="52">
        <f>IF(A68="","",'Hypothèses'!$B$21+SUM($P$5:P68)-SUMIFS('Investissements'!$I$5:$I$104,'Investissements'!$D$5:$D$104,"&lt;="&amp;(A68+32-DAY(A68+32))))</f>
        <v/>
      </c>
      <c r="T68" s="59">
        <f>IF(A68="","",IFERROR(P68/I68,0))</f>
        <v/>
      </c>
      <c r="U68" s="59">
        <f>IF(A68="","",IFERROR(VLOOKUP("Taux d'occupation cible année 1",'Hypothèses'!$A$5:$B$24,2,FALSE),0))</f>
        <v/>
      </c>
    </row>
    <row r="69">
      <c r="A69" s="47" t="n"/>
      <c r="B69" s="55" t="n"/>
      <c r="C69" s="56">
        <f>IF(A69="","",IFERROR((VLOOKUP("Nombre de terrains indoor",'Hypothèses'!$A$5:$B$24,2,FALSE)+VLOOKUP("Nombre de terrains outdoor",'Hypothèses'!$A$5:$B$24,2,FALSE))*VLOOKUP("Heures d'ouverture par terrain / mois",'Hypothèses'!$A$5:$B$24,2,FALSE),0))</f>
        <v/>
      </c>
      <c r="D69" s="56">
        <f>IF(A69="","",IFERROR(C69*B69,0))</f>
        <v/>
      </c>
      <c r="E69" s="50">
        <f>IF(A69="","",IFERROR(D69*VLOOKUP("Prix moyen réservation terrain",'Hypothèses'!$A$5:$B$24,2,FALSE),0))</f>
        <v/>
      </c>
      <c r="F69" s="50">
        <f>IF(A69="","",IFERROR(VLOOKUP("Nombre d'abonnés année 1",'Hypothèses'!$A$5:$B$24,2,FALSE)*VLOOKUP("Abonnement mensuel moyen",'Hypothèses'!$A$5:$B$24,2,FALSE),0))</f>
        <v/>
      </c>
      <c r="G69" s="50">
        <f>IF(A69="","",IFERROR(E69*VLOOKUP("Taux de CA coaching / stages",'Hypothèses'!$A$5:$B$24,2,FALSE),0))</f>
        <v/>
      </c>
      <c r="H69" s="50">
        <f>IF(A69="","",IFERROR(D69*VLOOKUP("Panier moyen bar / boutique",'Hypothèses'!$A$5:$B$24,2,FALSE),0))</f>
        <v/>
      </c>
      <c r="I69" s="50">
        <f>IF(A69="","",SUM(E69:H69))</f>
        <v/>
      </c>
      <c r="J69" s="50">
        <f>IF(A69="","",IFERROR(I69*VLOOKUP("Taux de TVA principal",'Hypothèses'!$A$5:$B$24,2,FALSE),0))</f>
        <v/>
      </c>
      <c r="K69" s="50">
        <f>IF(A69="","",IFERROR(I69*VLOOKUP("Taux de charges variables",'Hypothèses'!$A$5:$B$24,2,FALSE),0))</f>
        <v/>
      </c>
      <c r="L69" s="50">
        <f>IF(A69="","",IFERROR(VLOOKUP("Masse salariale annuelle",'Hypothèses'!$A$5:$B$24,2,FALSE)/12,0))</f>
        <v/>
      </c>
      <c r="M69" s="50">
        <f>IF(A69="","",IFERROR(VLOOKUP("Loyer annuel",'Hypothèses'!$A$5:$B$24,2,FALSE)/12,0))</f>
        <v/>
      </c>
      <c r="N69" s="50">
        <f>IF(A69="","",IFERROR(VLOOKUP("Budget marketing annuel",'Hypothèses'!$A$5:$B$24,2,FALSE)/12,0))</f>
        <v/>
      </c>
      <c r="O69" s="50">
        <f>IF(A69="","",IFERROR(VLOOKUP("Autres charges mensuelles",'Hypothèses'!$A$5:$B$24,2,FALSE),0))</f>
        <v/>
      </c>
      <c r="P69" s="50">
        <f>IF(A69="","",IFERROR(I69-SUM(K69:O69),0))</f>
        <v/>
      </c>
      <c r="Q69" s="50">
        <f>IF(A69="","",IFERROR('Investissements'!$K$105/12,0))</f>
        <v/>
      </c>
      <c r="R69" s="50">
        <f>IF(A69="","",IFERROR(P69-Q69,0))</f>
        <v/>
      </c>
      <c r="S69" s="50">
        <f>IF(A69="","",'Hypothèses'!$B$21+SUM($P$5:P69)-SUMIFS('Investissements'!$I$5:$I$104,'Investissements'!$D$5:$D$104,"&lt;="&amp;(A69+32-DAY(A69+32))))</f>
        <v/>
      </c>
      <c r="T69" s="57">
        <f>IF(A69="","",IFERROR(P69/I69,0))</f>
        <v/>
      </c>
      <c r="U69" s="57">
        <f>IF(A69="","",IFERROR(VLOOKUP("Taux d'occupation cible année 1",'Hypothèses'!$A$5:$B$24,2,FALSE),0))</f>
        <v/>
      </c>
    </row>
    <row r="70">
      <c r="A70" s="47" t="n"/>
      <c r="B70" s="55" t="n"/>
      <c r="C70" s="58">
        <f>IF(A70="","",IFERROR((VLOOKUP("Nombre de terrains indoor",'Hypothèses'!$A$5:$B$24,2,FALSE)+VLOOKUP("Nombre de terrains outdoor",'Hypothèses'!$A$5:$B$24,2,FALSE))*VLOOKUP("Heures d'ouverture par terrain / mois",'Hypothèses'!$A$5:$B$24,2,FALSE),0))</f>
        <v/>
      </c>
      <c r="D70" s="58">
        <f>IF(A70="","",IFERROR(C70*B70,0))</f>
        <v/>
      </c>
      <c r="E70" s="52">
        <f>IF(A70="","",IFERROR(D70*VLOOKUP("Prix moyen réservation terrain",'Hypothèses'!$A$5:$B$24,2,FALSE),0))</f>
        <v/>
      </c>
      <c r="F70" s="52">
        <f>IF(A70="","",IFERROR(VLOOKUP("Nombre d'abonnés année 1",'Hypothèses'!$A$5:$B$24,2,FALSE)*VLOOKUP("Abonnement mensuel moyen",'Hypothèses'!$A$5:$B$24,2,FALSE),0))</f>
        <v/>
      </c>
      <c r="G70" s="52">
        <f>IF(A70="","",IFERROR(E70*VLOOKUP("Taux de CA coaching / stages",'Hypothèses'!$A$5:$B$24,2,FALSE),0))</f>
        <v/>
      </c>
      <c r="H70" s="52">
        <f>IF(A70="","",IFERROR(D70*VLOOKUP("Panier moyen bar / boutique",'Hypothèses'!$A$5:$B$24,2,FALSE),0))</f>
        <v/>
      </c>
      <c r="I70" s="52">
        <f>IF(A70="","",SUM(E70:H70))</f>
        <v/>
      </c>
      <c r="J70" s="52">
        <f>IF(A70="","",IFERROR(I70*VLOOKUP("Taux de TVA principal",'Hypothèses'!$A$5:$B$24,2,FALSE),0))</f>
        <v/>
      </c>
      <c r="K70" s="52">
        <f>IF(A70="","",IFERROR(I70*VLOOKUP("Taux de charges variables",'Hypothèses'!$A$5:$B$24,2,FALSE),0))</f>
        <v/>
      </c>
      <c r="L70" s="52">
        <f>IF(A70="","",IFERROR(VLOOKUP("Masse salariale annuelle",'Hypothèses'!$A$5:$B$24,2,FALSE)/12,0))</f>
        <v/>
      </c>
      <c r="M70" s="52">
        <f>IF(A70="","",IFERROR(VLOOKUP("Loyer annuel",'Hypothèses'!$A$5:$B$24,2,FALSE)/12,0))</f>
        <v/>
      </c>
      <c r="N70" s="52">
        <f>IF(A70="","",IFERROR(VLOOKUP("Budget marketing annuel",'Hypothèses'!$A$5:$B$24,2,FALSE)/12,0))</f>
        <v/>
      </c>
      <c r="O70" s="52">
        <f>IF(A70="","",IFERROR(VLOOKUP("Autres charges mensuelles",'Hypothèses'!$A$5:$B$24,2,FALSE),0))</f>
        <v/>
      </c>
      <c r="P70" s="52">
        <f>IF(A70="","",IFERROR(I70-SUM(K70:O70),0))</f>
        <v/>
      </c>
      <c r="Q70" s="52">
        <f>IF(A70="","",IFERROR('Investissements'!$K$105/12,0))</f>
        <v/>
      </c>
      <c r="R70" s="52">
        <f>IF(A70="","",IFERROR(P70-Q70,0))</f>
        <v/>
      </c>
      <c r="S70" s="52">
        <f>IF(A70="","",'Hypothèses'!$B$21+SUM($P$5:P70)-SUMIFS('Investissements'!$I$5:$I$104,'Investissements'!$D$5:$D$104,"&lt;="&amp;(A70+32-DAY(A70+32))))</f>
        <v/>
      </c>
      <c r="T70" s="59">
        <f>IF(A70="","",IFERROR(P70/I70,0))</f>
        <v/>
      </c>
      <c r="U70" s="59">
        <f>IF(A70="","",IFERROR(VLOOKUP("Taux d'occupation cible année 1",'Hypothèses'!$A$5:$B$24,2,FALSE),0))</f>
        <v/>
      </c>
    </row>
    <row r="71">
      <c r="A71" s="47" t="n"/>
      <c r="B71" s="55" t="n"/>
      <c r="C71" s="56">
        <f>IF(A71="","",IFERROR((VLOOKUP("Nombre de terrains indoor",'Hypothèses'!$A$5:$B$24,2,FALSE)+VLOOKUP("Nombre de terrains outdoor",'Hypothèses'!$A$5:$B$24,2,FALSE))*VLOOKUP("Heures d'ouverture par terrain / mois",'Hypothèses'!$A$5:$B$24,2,FALSE),0))</f>
        <v/>
      </c>
      <c r="D71" s="56">
        <f>IF(A71="","",IFERROR(C71*B71,0))</f>
        <v/>
      </c>
      <c r="E71" s="50">
        <f>IF(A71="","",IFERROR(D71*VLOOKUP("Prix moyen réservation terrain",'Hypothèses'!$A$5:$B$24,2,FALSE),0))</f>
        <v/>
      </c>
      <c r="F71" s="50">
        <f>IF(A71="","",IFERROR(VLOOKUP("Nombre d'abonnés année 1",'Hypothèses'!$A$5:$B$24,2,FALSE)*VLOOKUP("Abonnement mensuel moyen",'Hypothèses'!$A$5:$B$24,2,FALSE),0))</f>
        <v/>
      </c>
      <c r="G71" s="50">
        <f>IF(A71="","",IFERROR(E71*VLOOKUP("Taux de CA coaching / stages",'Hypothèses'!$A$5:$B$24,2,FALSE),0))</f>
        <v/>
      </c>
      <c r="H71" s="50">
        <f>IF(A71="","",IFERROR(D71*VLOOKUP("Panier moyen bar / boutique",'Hypothèses'!$A$5:$B$24,2,FALSE),0))</f>
        <v/>
      </c>
      <c r="I71" s="50">
        <f>IF(A71="","",SUM(E71:H71))</f>
        <v/>
      </c>
      <c r="J71" s="50">
        <f>IF(A71="","",IFERROR(I71*VLOOKUP("Taux de TVA principal",'Hypothèses'!$A$5:$B$24,2,FALSE),0))</f>
        <v/>
      </c>
      <c r="K71" s="50">
        <f>IF(A71="","",IFERROR(I71*VLOOKUP("Taux de charges variables",'Hypothèses'!$A$5:$B$24,2,FALSE),0))</f>
        <v/>
      </c>
      <c r="L71" s="50">
        <f>IF(A71="","",IFERROR(VLOOKUP("Masse salariale annuelle",'Hypothèses'!$A$5:$B$24,2,FALSE)/12,0))</f>
        <v/>
      </c>
      <c r="M71" s="50">
        <f>IF(A71="","",IFERROR(VLOOKUP("Loyer annuel",'Hypothèses'!$A$5:$B$24,2,FALSE)/12,0))</f>
        <v/>
      </c>
      <c r="N71" s="50">
        <f>IF(A71="","",IFERROR(VLOOKUP("Budget marketing annuel",'Hypothèses'!$A$5:$B$24,2,FALSE)/12,0))</f>
        <v/>
      </c>
      <c r="O71" s="50">
        <f>IF(A71="","",IFERROR(VLOOKUP("Autres charges mensuelles",'Hypothèses'!$A$5:$B$24,2,FALSE),0))</f>
        <v/>
      </c>
      <c r="P71" s="50">
        <f>IF(A71="","",IFERROR(I71-SUM(K71:O71),0))</f>
        <v/>
      </c>
      <c r="Q71" s="50">
        <f>IF(A71="","",IFERROR('Investissements'!$K$105/12,0))</f>
        <v/>
      </c>
      <c r="R71" s="50">
        <f>IF(A71="","",IFERROR(P71-Q71,0))</f>
        <v/>
      </c>
      <c r="S71" s="50">
        <f>IF(A71="","",'Hypothèses'!$B$21+SUM($P$5:P71)-SUMIFS('Investissements'!$I$5:$I$104,'Investissements'!$D$5:$D$104,"&lt;="&amp;(A71+32-DAY(A71+32))))</f>
        <v/>
      </c>
      <c r="T71" s="57">
        <f>IF(A71="","",IFERROR(P71/I71,0))</f>
        <v/>
      </c>
      <c r="U71" s="57">
        <f>IF(A71="","",IFERROR(VLOOKUP("Taux d'occupation cible année 1",'Hypothèses'!$A$5:$B$24,2,FALSE),0))</f>
        <v/>
      </c>
    </row>
    <row r="72">
      <c r="A72" s="47" t="n"/>
      <c r="B72" s="55" t="n"/>
      <c r="C72" s="58">
        <f>IF(A72="","",IFERROR((VLOOKUP("Nombre de terrains indoor",'Hypothèses'!$A$5:$B$24,2,FALSE)+VLOOKUP("Nombre de terrains outdoor",'Hypothèses'!$A$5:$B$24,2,FALSE))*VLOOKUP("Heures d'ouverture par terrain / mois",'Hypothèses'!$A$5:$B$24,2,FALSE),0))</f>
        <v/>
      </c>
      <c r="D72" s="58">
        <f>IF(A72="","",IFERROR(C72*B72,0))</f>
        <v/>
      </c>
      <c r="E72" s="52">
        <f>IF(A72="","",IFERROR(D72*VLOOKUP("Prix moyen réservation terrain",'Hypothèses'!$A$5:$B$24,2,FALSE),0))</f>
        <v/>
      </c>
      <c r="F72" s="52">
        <f>IF(A72="","",IFERROR(VLOOKUP("Nombre d'abonnés année 1",'Hypothèses'!$A$5:$B$24,2,FALSE)*VLOOKUP("Abonnement mensuel moyen",'Hypothèses'!$A$5:$B$24,2,FALSE),0))</f>
        <v/>
      </c>
      <c r="G72" s="52">
        <f>IF(A72="","",IFERROR(E72*VLOOKUP("Taux de CA coaching / stages",'Hypothèses'!$A$5:$B$24,2,FALSE),0))</f>
        <v/>
      </c>
      <c r="H72" s="52">
        <f>IF(A72="","",IFERROR(D72*VLOOKUP("Panier moyen bar / boutique",'Hypothèses'!$A$5:$B$24,2,FALSE),0))</f>
        <v/>
      </c>
      <c r="I72" s="52">
        <f>IF(A72="","",SUM(E72:H72))</f>
        <v/>
      </c>
      <c r="J72" s="52">
        <f>IF(A72="","",IFERROR(I72*VLOOKUP("Taux de TVA principal",'Hypothèses'!$A$5:$B$24,2,FALSE),0))</f>
        <v/>
      </c>
      <c r="K72" s="52">
        <f>IF(A72="","",IFERROR(I72*VLOOKUP("Taux de charges variables",'Hypothèses'!$A$5:$B$24,2,FALSE),0))</f>
        <v/>
      </c>
      <c r="L72" s="52">
        <f>IF(A72="","",IFERROR(VLOOKUP("Masse salariale annuelle",'Hypothèses'!$A$5:$B$24,2,FALSE)/12,0))</f>
        <v/>
      </c>
      <c r="M72" s="52">
        <f>IF(A72="","",IFERROR(VLOOKUP("Loyer annuel",'Hypothèses'!$A$5:$B$24,2,FALSE)/12,0))</f>
        <v/>
      </c>
      <c r="N72" s="52">
        <f>IF(A72="","",IFERROR(VLOOKUP("Budget marketing annuel",'Hypothèses'!$A$5:$B$24,2,FALSE)/12,0))</f>
        <v/>
      </c>
      <c r="O72" s="52">
        <f>IF(A72="","",IFERROR(VLOOKUP("Autres charges mensuelles",'Hypothèses'!$A$5:$B$24,2,FALSE),0))</f>
        <v/>
      </c>
      <c r="P72" s="52">
        <f>IF(A72="","",IFERROR(I72-SUM(K72:O72),0))</f>
        <v/>
      </c>
      <c r="Q72" s="52">
        <f>IF(A72="","",IFERROR('Investissements'!$K$105/12,0))</f>
        <v/>
      </c>
      <c r="R72" s="52">
        <f>IF(A72="","",IFERROR(P72-Q72,0))</f>
        <v/>
      </c>
      <c r="S72" s="52">
        <f>IF(A72="","",'Hypothèses'!$B$21+SUM($P$5:P72)-SUMIFS('Investissements'!$I$5:$I$104,'Investissements'!$D$5:$D$104,"&lt;="&amp;(A72+32-DAY(A72+32))))</f>
        <v/>
      </c>
      <c r="T72" s="59">
        <f>IF(A72="","",IFERROR(P72/I72,0))</f>
        <v/>
      </c>
      <c r="U72" s="59">
        <f>IF(A72="","",IFERROR(VLOOKUP("Taux d'occupation cible année 1",'Hypothèses'!$A$5:$B$24,2,FALSE),0))</f>
        <v/>
      </c>
    </row>
    <row r="73">
      <c r="A73" s="47" t="n"/>
      <c r="B73" s="55" t="n"/>
      <c r="C73" s="56">
        <f>IF(A73="","",IFERROR((VLOOKUP("Nombre de terrains indoor",'Hypothèses'!$A$5:$B$24,2,FALSE)+VLOOKUP("Nombre de terrains outdoor",'Hypothèses'!$A$5:$B$24,2,FALSE))*VLOOKUP("Heures d'ouverture par terrain / mois",'Hypothèses'!$A$5:$B$24,2,FALSE),0))</f>
        <v/>
      </c>
      <c r="D73" s="56">
        <f>IF(A73="","",IFERROR(C73*B73,0))</f>
        <v/>
      </c>
      <c r="E73" s="50">
        <f>IF(A73="","",IFERROR(D73*VLOOKUP("Prix moyen réservation terrain",'Hypothèses'!$A$5:$B$24,2,FALSE),0))</f>
        <v/>
      </c>
      <c r="F73" s="50">
        <f>IF(A73="","",IFERROR(VLOOKUP("Nombre d'abonnés année 1",'Hypothèses'!$A$5:$B$24,2,FALSE)*VLOOKUP("Abonnement mensuel moyen",'Hypothèses'!$A$5:$B$24,2,FALSE),0))</f>
        <v/>
      </c>
      <c r="G73" s="50">
        <f>IF(A73="","",IFERROR(E73*VLOOKUP("Taux de CA coaching / stages",'Hypothèses'!$A$5:$B$24,2,FALSE),0))</f>
        <v/>
      </c>
      <c r="H73" s="50">
        <f>IF(A73="","",IFERROR(D73*VLOOKUP("Panier moyen bar / boutique",'Hypothèses'!$A$5:$B$24,2,FALSE),0))</f>
        <v/>
      </c>
      <c r="I73" s="50">
        <f>IF(A73="","",SUM(E73:H73))</f>
        <v/>
      </c>
      <c r="J73" s="50">
        <f>IF(A73="","",IFERROR(I73*VLOOKUP("Taux de TVA principal",'Hypothèses'!$A$5:$B$24,2,FALSE),0))</f>
        <v/>
      </c>
      <c r="K73" s="50">
        <f>IF(A73="","",IFERROR(I73*VLOOKUP("Taux de charges variables",'Hypothèses'!$A$5:$B$24,2,FALSE),0))</f>
        <v/>
      </c>
      <c r="L73" s="50">
        <f>IF(A73="","",IFERROR(VLOOKUP("Masse salariale annuelle",'Hypothèses'!$A$5:$B$24,2,FALSE)/12,0))</f>
        <v/>
      </c>
      <c r="M73" s="50">
        <f>IF(A73="","",IFERROR(VLOOKUP("Loyer annuel",'Hypothèses'!$A$5:$B$24,2,FALSE)/12,0))</f>
        <v/>
      </c>
      <c r="N73" s="50">
        <f>IF(A73="","",IFERROR(VLOOKUP("Budget marketing annuel",'Hypothèses'!$A$5:$B$24,2,FALSE)/12,0))</f>
        <v/>
      </c>
      <c r="O73" s="50">
        <f>IF(A73="","",IFERROR(VLOOKUP("Autres charges mensuelles",'Hypothèses'!$A$5:$B$24,2,FALSE),0))</f>
        <v/>
      </c>
      <c r="P73" s="50">
        <f>IF(A73="","",IFERROR(I73-SUM(K73:O73),0))</f>
        <v/>
      </c>
      <c r="Q73" s="50">
        <f>IF(A73="","",IFERROR('Investissements'!$K$105/12,0))</f>
        <v/>
      </c>
      <c r="R73" s="50">
        <f>IF(A73="","",IFERROR(P73-Q73,0))</f>
        <v/>
      </c>
      <c r="S73" s="50">
        <f>IF(A73="","",'Hypothèses'!$B$21+SUM($P$5:P73)-SUMIFS('Investissements'!$I$5:$I$104,'Investissements'!$D$5:$D$104,"&lt;="&amp;(A73+32-DAY(A73+32))))</f>
        <v/>
      </c>
      <c r="T73" s="57">
        <f>IF(A73="","",IFERROR(P73/I73,0))</f>
        <v/>
      </c>
      <c r="U73" s="57">
        <f>IF(A73="","",IFERROR(VLOOKUP("Taux d'occupation cible année 1",'Hypothèses'!$A$5:$B$24,2,FALSE),0))</f>
        <v/>
      </c>
    </row>
    <row r="74">
      <c r="A74" s="47" t="n"/>
      <c r="B74" s="55" t="n"/>
      <c r="C74" s="58">
        <f>IF(A74="","",IFERROR((VLOOKUP("Nombre de terrains indoor",'Hypothèses'!$A$5:$B$24,2,FALSE)+VLOOKUP("Nombre de terrains outdoor",'Hypothèses'!$A$5:$B$24,2,FALSE))*VLOOKUP("Heures d'ouverture par terrain / mois",'Hypothèses'!$A$5:$B$24,2,FALSE),0))</f>
        <v/>
      </c>
      <c r="D74" s="58">
        <f>IF(A74="","",IFERROR(C74*B74,0))</f>
        <v/>
      </c>
      <c r="E74" s="52">
        <f>IF(A74="","",IFERROR(D74*VLOOKUP("Prix moyen réservation terrain",'Hypothèses'!$A$5:$B$24,2,FALSE),0))</f>
        <v/>
      </c>
      <c r="F74" s="52">
        <f>IF(A74="","",IFERROR(VLOOKUP("Nombre d'abonnés année 1",'Hypothèses'!$A$5:$B$24,2,FALSE)*VLOOKUP("Abonnement mensuel moyen",'Hypothèses'!$A$5:$B$24,2,FALSE),0))</f>
        <v/>
      </c>
      <c r="G74" s="52">
        <f>IF(A74="","",IFERROR(E74*VLOOKUP("Taux de CA coaching / stages",'Hypothèses'!$A$5:$B$24,2,FALSE),0))</f>
        <v/>
      </c>
      <c r="H74" s="52">
        <f>IF(A74="","",IFERROR(D74*VLOOKUP("Panier moyen bar / boutique",'Hypothèses'!$A$5:$B$24,2,FALSE),0))</f>
        <v/>
      </c>
      <c r="I74" s="52">
        <f>IF(A74="","",SUM(E74:H74))</f>
        <v/>
      </c>
      <c r="J74" s="52">
        <f>IF(A74="","",IFERROR(I74*VLOOKUP("Taux de TVA principal",'Hypothèses'!$A$5:$B$24,2,FALSE),0))</f>
        <v/>
      </c>
      <c r="K74" s="52">
        <f>IF(A74="","",IFERROR(I74*VLOOKUP("Taux de charges variables",'Hypothèses'!$A$5:$B$24,2,FALSE),0))</f>
        <v/>
      </c>
      <c r="L74" s="52">
        <f>IF(A74="","",IFERROR(VLOOKUP("Masse salariale annuelle",'Hypothèses'!$A$5:$B$24,2,FALSE)/12,0))</f>
        <v/>
      </c>
      <c r="M74" s="52">
        <f>IF(A74="","",IFERROR(VLOOKUP("Loyer annuel",'Hypothèses'!$A$5:$B$24,2,FALSE)/12,0))</f>
        <v/>
      </c>
      <c r="N74" s="52">
        <f>IF(A74="","",IFERROR(VLOOKUP("Budget marketing annuel",'Hypothèses'!$A$5:$B$24,2,FALSE)/12,0))</f>
        <v/>
      </c>
      <c r="O74" s="52">
        <f>IF(A74="","",IFERROR(VLOOKUP("Autres charges mensuelles",'Hypothèses'!$A$5:$B$24,2,FALSE),0))</f>
        <v/>
      </c>
      <c r="P74" s="52">
        <f>IF(A74="","",IFERROR(I74-SUM(K74:O74),0))</f>
        <v/>
      </c>
      <c r="Q74" s="52">
        <f>IF(A74="","",IFERROR('Investissements'!$K$105/12,0))</f>
        <v/>
      </c>
      <c r="R74" s="52">
        <f>IF(A74="","",IFERROR(P74-Q74,0))</f>
        <v/>
      </c>
      <c r="S74" s="52">
        <f>IF(A74="","",'Hypothèses'!$B$21+SUM($P$5:P74)-SUMIFS('Investissements'!$I$5:$I$104,'Investissements'!$D$5:$D$104,"&lt;="&amp;(A74+32-DAY(A74+32))))</f>
        <v/>
      </c>
      <c r="T74" s="59">
        <f>IF(A74="","",IFERROR(P74/I74,0))</f>
        <v/>
      </c>
      <c r="U74" s="59">
        <f>IF(A74="","",IFERROR(VLOOKUP("Taux d'occupation cible année 1",'Hypothèses'!$A$5:$B$24,2,FALSE),0))</f>
        <v/>
      </c>
    </row>
    <row r="75">
      <c r="A75" s="47" t="n"/>
      <c r="B75" s="55" t="n"/>
      <c r="C75" s="56">
        <f>IF(A75="","",IFERROR((VLOOKUP("Nombre de terrains indoor",'Hypothèses'!$A$5:$B$24,2,FALSE)+VLOOKUP("Nombre de terrains outdoor",'Hypothèses'!$A$5:$B$24,2,FALSE))*VLOOKUP("Heures d'ouverture par terrain / mois",'Hypothèses'!$A$5:$B$24,2,FALSE),0))</f>
        <v/>
      </c>
      <c r="D75" s="56">
        <f>IF(A75="","",IFERROR(C75*B75,0))</f>
        <v/>
      </c>
      <c r="E75" s="50">
        <f>IF(A75="","",IFERROR(D75*VLOOKUP("Prix moyen réservation terrain",'Hypothèses'!$A$5:$B$24,2,FALSE),0))</f>
        <v/>
      </c>
      <c r="F75" s="50">
        <f>IF(A75="","",IFERROR(VLOOKUP("Nombre d'abonnés année 1",'Hypothèses'!$A$5:$B$24,2,FALSE)*VLOOKUP("Abonnement mensuel moyen",'Hypothèses'!$A$5:$B$24,2,FALSE),0))</f>
        <v/>
      </c>
      <c r="G75" s="50">
        <f>IF(A75="","",IFERROR(E75*VLOOKUP("Taux de CA coaching / stages",'Hypothèses'!$A$5:$B$24,2,FALSE),0))</f>
        <v/>
      </c>
      <c r="H75" s="50">
        <f>IF(A75="","",IFERROR(D75*VLOOKUP("Panier moyen bar / boutique",'Hypothèses'!$A$5:$B$24,2,FALSE),0))</f>
        <v/>
      </c>
      <c r="I75" s="50">
        <f>IF(A75="","",SUM(E75:H75))</f>
        <v/>
      </c>
      <c r="J75" s="50">
        <f>IF(A75="","",IFERROR(I75*VLOOKUP("Taux de TVA principal",'Hypothèses'!$A$5:$B$24,2,FALSE),0))</f>
        <v/>
      </c>
      <c r="K75" s="50">
        <f>IF(A75="","",IFERROR(I75*VLOOKUP("Taux de charges variables",'Hypothèses'!$A$5:$B$24,2,FALSE),0))</f>
        <v/>
      </c>
      <c r="L75" s="50">
        <f>IF(A75="","",IFERROR(VLOOKUP("Masse salariale annuelle",'Hypothèses'!$A$5:$B$24,2,FALSE)/12,0))</f>
        <v/>
      </c>
      <c r="M75" s="50">
        <f>IF(A75="","",IFERROR(VLOOKUP("Loyer annuel",'Hypothèses'!$A$5:$B$24,2,FALSE)/12,0))</f>
        <v/>
      </c>
      <c r="N75" s="50">
        <f>IF(A75="","",IFERROR(VLOOKUP("Budget marketing annuel",'Hypothèses'!$A$5:$B$24,2,FALSE)/12,0))</f>
        <v/>
      </c>
      <c r="O75" s="50">
        <f>IF(A75="","",IFERROR(VLOOKUP("Autres charges mensuelles",'Hypothèses'!$A$5:$B$24,2,FALSE),0))</f>
        <v/>
      </c>
      <c r="P75" s="50">
        <f>IF(A75="","",IFERROR(I75-SUM(K75:O75),0))</f>
        <v/>
      </c>
      <c r="Q75" s="50">
        <f>IF(A75="","",IFERROR('Investissements'!$K$105/12,0))</f>
        <v/>
      </c>
      <c r="R75" s="50">
        <f>IF(A75="","",IFERROR(P75-Q75,0))</f>
        <v/>
      </c>
      <c r="S75" s="50">
        <f>IF(A75="","",'Hypothèses'!$B$21+SUM($P$5:P75)-SUMIFS('Investissements'!$I$5:$I$104,'Investissements'!$D$5:$D$104,"&lt;="&amp;(A75+32-DAY(A75+32))))</f>
        <v/>
      </c>
      <c r="T75" s="57">
        <f>IF(A75="","",IFERROR(P75/I75,0))</f>
        <v/>
      </c>
      <c r="U75" s="57">
        <f>IF(A75="","",IFERROR(VLOOKUP("Taux d'occupation cible année 1",'Hypothèses'!$A$5:$B$24,2,FALSE),0))</f>
        <v/>
      </c>
    </row>
    <row r="76">
      <c r="A76" s="47" t="n"/>
      <c r="B76" s="55" t="n"/>
      <c r="C76" s="58">
        <f>IF(A76="","",IFERROR((VLOOKUP("Nombre de terrains indoor",'Hypothèses'!$A$5:$B$24,2,FALSE)+VLOOKUP("Nombre de terrains outdoor",'Hypothèses'!$A$5:$B$24,2,FALSE))*VLOOKUP("Heures d'ouverture par terrain / mois",'Hypothèses'!$A$5:$B$24,2,FALSE),0))</f>
        <v/>
      </c>
      <c r="D76" s="58">
        <f>IF(A76="","",IFERROR(C76*B76,0))</f>
        <v/>
      </c>
      <c r="E76" s="52">
        <f>IF(A76="","",IFERROR(D76*VLOOKUP("Prix moyen réservation terrain",'Hypothèses'!$A$5:$B$24,2,FALSE),0))</f>
        <v/>
      </c>
      <c r="F76" s="52">
        <f>IF(A76="","",IFERROR(VLOOKUP("Nombre d'abonnés année 1",'Hypothèses'!$A$5:$B$24,2,FALSE)*VLOOKUP("Abonnement mensuel moyen",'Hypothèses'!$A$5:$B$24,2,FALSE),0))</f>
        <v/>
      </c>
      <c r="G76" s="52">
        <f>IF(A76="","",IFERROR(E76*VLOOKUP("Taux de CA coaching / stages",'Hypothèses'!$A$5:$B$24,2,FALSE),0))</f>
        <v/>
      </c>
      <c r="H76" s="52">
        <f>IF(A76="","",IFERROR(D76*VLOOKUP("Panier moyen bar / boutique",'Hypothèses'!$A$5:$B$24,2,FALSE),0))</f>
        <v/>
      </c>
      <c r="I76" s="52">
        <f>IF(A76="","",SUM(E76:H76))</f>
        <v/>
      </c>
      <c r="J76" s="52">
        <f>IF(A76="","",IFERROR(I76*VLOOKUP("Taux de TVA principal",'Hypothèses'!$A$5:$B$24,2,FALSE),0))</f>
        <v/>
      </c>
      <c r="K76" s="52">
        <f>IF(A76="","",IFERROR(I76*VLOOKUP("Taux de charges variables",'Hypothèses'!$A$5:$B$24,2,FALSE),0))</f>
        <v/>
      </c>
      <c r="L76" s="52">
        <f>IF(A76="","",IFERROR(VLOOKUP("Masse salariale annuelle",'Hypothèses'!$A$5:$B$24,2,FALSE)/12,0))</f>
        <v/>
      </c>
      <c r="M76" s="52">
        <f>IF(A76="","",IFERROR(VLOOKUP("Loyer annuel",'Hypothèses'!$A$5:$B$24,2,FALSE)/12,0))</f>
        <v/>
      </c>
      <c r="N76" s="52">
        <f>IF(A76="","",IFERROR(VLOOKUP("Budget marketing annuel",'Hypothèses'!$A$5:$B$24,2,FALSE)/12,0))</f>
        <v/>
      </c>
      <c r="O76" s="52">
        <f>IF(A76="","",IFERROR(VLOOKUP("Autres charges mensuelles",'Hypothèses'!$A$5:$B$24,2,FALSE),0))</f>
        <v/>
      </c>
      <c r="P76" s="52">
        <f>IF(A76="","",IFERROR(I76-SUM(K76:O76),0))</f>
        <v/>
      </c>
      <c r="Q76" s="52">
        <f>IF(A76="","",IFERROR('Investissements'!$K$105/12,0))</f>
        <v/>
      </c>
      <c r="R76" s="52">
        <f>IF(A76="","",IFERROR(P76-Q76,0))</f>
        <v/>
      </c>
      <c r="S76" s="52">
        <f>IF(A76="","",'Hypothèses'!$B$21+SUM($P$5:P76)-SUMIFS('Investissements'!$I$5:$I$104,'Investissements'!$D$5:$D$104,"&lt;="&amp;(A76+32-DAY(A76+32))))</f>
        <v/>
      </c>
      <c r="T76" s="59">
        <f>IF(A76="","",IFERROR(P76/I76,0))</f>
        <v/>
      </c>
      <c r="U76" s="59">
        <f>IF(A76="","",IFERROR(VLOOKUP("Taux d'occupation cible année 1",'Hypothèses'!$A$5:$B$24,2,FALSE),0))</f>
        <v/>
      </c>
    </row>
    <row r="77">
      <c r="A77" s="47" t="n"/>
      <c r="B77" s="55" t="n"/>
      <c r="C77" s="56">
        <f>IF(A77="","",IFERROR((VLOOKUP("Nombre de terrains indoor",'Hypothèses'!$A$5:$B$24,2,FALSE)+VLOOKUP("Nombre de terrains outdoor",'Hypothèses'!$A$5:$B$24,2,FALSE))*VLOOKUP("Heures d'ouverture par terrain / mois",'Hypothèses'!$A$5:$B$24,2,FALSE),0))</f>
        <v/>
      </c>
      <c r="D77" s="56">
        <f>IF(A77="","",IFERROR(C77*B77,0))</f>
        <v/>
      </c>
      <c r="E77" s="50">
        <f>IF(A77="","",IFERROR(D77*VLOOKUP("Prix moyen réservation terrain",'Hypothèses'!$A$5:$B$24,2,FALSE),0))</f>
        <v/>
      </c>
      <c r="F77" s="50">
        <f>IF(A77="","",IFERROR(VLOOKUP("Nombre d'abonnés année 1",'Hypothèses'!$A$5:$B$24,2,FALSE)*VLOOKUP("Abonnement mensuel moyen",'Hypothèses'!$A$5:$B$24,2,FALSE),0))</f>
        <v/>
      </c>
      <c r="G77" s="50">
        <f>IF(A77="","",IFERROR(E77*VLOOKUP("Taux de CA coaching / stages",'Hypothèses'!$A$5:$B$24,2,FALSE),0))</f>
        <v/>
      </c>
      <c r="H77" s="50">
        <f>IF(A77="","",IFERROR(D77*VLOOKUP("Panier moyen bar / boutique",'Hypothèses'!$A$5:$B$24,2,FALSE),0))</f>
        <v/>
      </c>
      <c r="I77" s="50">
        <f>IF(A77="","",SUM(E77:H77))</f>
        <v/>
      </c>
      <c r="J77" s="50">
        <f>IF(A77="","",IFERROR(I77*VLOOKUP("Taux de TVA principal",'Hypothèses'!$A$5:$B$24,2,FALSE),0))</f>
        <v/>
      </c>
      <c r="K77" s="50">
        <f>IF(A77="","",IFERROR(I77*VLOOKUP("Taux de charges variables",'Hypothèses'!$A$5:$B$24,2,FALSE),0))</f>
        <v/>
      </c>
      <c r="L77" s="50">
        <f>IF(A77="","",IFERROR(VLOOKUP("Masse salariale annuelle",'Hypothèses'!$A$5:$B$24,2,FALSE)/12,0))</f>
        <v/>
      </c>
      <c r="M77" s="50">
        <f>IF(A77="","",IFERROR(VLOOKUP("Loyer annuel",'Hypothèses'!$A$5:$B$24,2,FALSE)/12,0))</f>
        <v/>
      </c>
      <c r="N77" s="50">
        <f>IF(A77="","",IFERROR(VLOOKUP("Budget marketing annuel",'Hypothèses'!$A$5:$B$24,2,FALSE)/12,0))</f>
        <v/>
      </c>
      <c r="O77" s="50">
        <f>IF(A77="","",IFERROR(VLOOKUP("Autres charges mensuelles",'Hypothèses'!$A$5:$B$24,2,FALSE),0))</f>
        <v/>
      </c>
      <c r="P77" s="50">
        <f>IF(A77="","",IFERROR(I77-SUM(K77:O77),0))</f>
        <v/>
      </c>
      <c r="Q77" s="50">
        <f>IF(A77="","",IFERROR('Investissements'!$K$105/12,0))</f>
        <v/>
      </c>
      <c r="R77" s="50">
        <f>IF(A77="","",IFERROR(P77-Q77,0))</f>
        <v/>
      </c>
      <c r="S77" s="50">
        <f>IF(A77="","",'Hypothèses'!$B$21+SUM($P$5:P77)-SUMIFS('Investissements'!$I$5:$I$104,'Investissements'!$D$5:$D$104,"&lt;="&amp;(A77+32-DAY(A77+32))))</f>
        <v/>
      </c>
      <c r="T77" s="57">
        <f>IF(A77="","",IFERROR(P77/I77,0))</f>
        <v/>
      </c>
      <c r="U77" s="57">
        <f>IF(A77="","",IFERROR(VLOOKUP("Taux d'occupation cible année 1",'Hypothèses'!$A$5:$B$24,2,FALSE),0))</f>
        <v/>
      </c>
    </row>
    <row r="78">
      <c r="A78" s="47" t="n"/>
      <c r="B78" s="55" t="n"/>
      <c r="C78" s="58">
        <f>IF(A78="","",IFERROR((VLOOKUP("Nombre de terrains indoor",'Hypothèses'!$A$5:$B$24,2,FALSE)+VLOOKUP("Nombre de terrains outdoor",'Hypothèses'!$A$5:$B$24,2,FALSE))*VLOOKUP("Heures d'ouverture par terrain / mois",'Hypothèses'!$A$5:$B$24,2,FALSE),0))</f>
        <v/>
      </c>
      <c r="D78" s="58">
        <f>IF(A78="","",IFERROR(C78*B78,0))</f>
        <v/>
      </c>
      <c r="E78" s="52">
        <f>IF(A78="","",IFERROR(D78*VLOOKUP("Prix moyen réservation terrain",'Hypothèses'!$A$5:$B$24,2,FALSE),0))</f>
        <v/>
      </c>
      <c r="F78" s="52">
        <f>IF(A78="","",IFERROR(VLOOKUP("Nombre d'abonnés année 1",'Hypothèses'!$A$5:$B$24,2,FALSE)*VLOOKUP("Abonnement mensuel moyen",'Hypothèses'!$A$5:$B$24,2,FALSE),0))</f>
        <v/>
      </c>
      <c r="G78" s="52">
        <f>IF(A78="","",IFERROR(E78*VLOOKUP("Taux de CA coaching / stages",'Hypothèses'!$A$5:$B$24,2,FALSE),0))</f>
        <v/>
      </c>
      <c r="H78" s="52">
        <f>IF(A78="","",IFERROR(D78*VLOOKUP("Panier moyen bar / boutique",'Hypothèses'!$A$5:$B$24,2,FALSE),0))</f>
        <v/>
      </c>
      <c r="I78" s="52">
        <f>IF(A78="","",SUM(E78:H78))</f>
        <v/>
      </c>
      <c r="J78" s="52">
        <f>IF(A78="","",IFERROR(I78*VLOOKUP("Taux de TVA principal",'Hypothèses'!$A$5:$B$24,2,FALSE),0))</f>
        <v/>
      </c>
      <c r="K78" s="52">
        <f>IF(A78="","",IFERROR(I78*VLOOKUP("Taux de charges variables",'Hypothèses'!$A$5:$B$24,2,FALSE),0))</f>
        <v/>
      </c>
      <c r="L78" s="52">
        <f>IF(A78="","",IFERROR(VLOOKUP("Masse salariale annuelle",'Hypothèses'!$A$5:$B$24,2,FALSE)/12,0))</f>
        <v/>
      </c>
      <c r="M78" s="52">
        <f>IF(A78="","",IFERROR(VLOOKUP("Loyer annuel",'Hypothèses'!$A$5:$B$24,2,FALSE)/12,0))</f>
        <v/>
      </c>
      <c r="N78" s="52">
        <f>IF(A78="","",IFERROR(VLOOKUP("Budget marketing annuel",'Hypothèses'!$A$5:$B$24,2,FALSE)/12,0))</f>
        <v/>
      </c>
      <c r="O78" s="52">
        <f>IF(A78="","",IFERROR(VLOOKUP("Autres charges mensuelles",'Hypothèses'!$A$5:$B$24,2,FALSE),0))</f>
        <v/>
      </c>
      <c r="P78" s="52">
        <f>IF(A78="","",IFERROR(I78-SUM(K78:O78),0))</f>
        <v/>
      </c>
      <c r="Q78" s="52">
        <f>IF(A78="","",IFERROR('Investissements'!$K$105/12,0))</f>
        <v/>
      </c>
      <c r="R78" s="52">
        <f>IF(A78="","",IFERROR(P78-Q78,0))</f>
        <v/>
      </c>
      <c r="S78" s="52">
        <f>IF(A78="","",'Hypothèses'!$B$21+SUM($P$5:P78)-SUMIFS('Investissements'!$I$5:$I$104,'Investissements'!$D$5:$D$104,"&lt;="&amp;(A78+32-DAY(A78+32))))</f>
        <v/>
      </c>
      <c r="T78" s="59">
        <f>IF(A78="","",IFERROR(P78/I78,0))</f>
        <v/>
      </c>
      <c r="U78" s="59">
        <f>IF(A78="","",IFERROR(VLOOKUP("Taux d'occupation cible année 1",'Hypothèses'!$A$5:$B$24,2,FALSE),0))</f>
        <v/>
      </c>
    </row>
    <row r="79">
      <c r="A79" s="47" t="n"/>
      <c r="B79" s="55" t="n"/>
      <c r="C79" s="56">
        <f>IF(A79="","",IFERROR((VLOOKUP("Nombre de terrains indoor",'Hypothèses'!$A$5:$B$24,2,FALSE)+VLOOKUP("Nombre de terrains outdoor",'Hypothèses'!$A$5:$B$24,2,FALSE))*VLOOKUP("Heures d'ouverture par terrain / mois",'Hypothèses'!$A$5:$B$24,2,FALSE),0))</f>
        <v/>
      </c>
      <c r="D79" s="56">
        <f>IF(A79="","",IFERROR(C79*B79,0))</f>
        <v/>
      </c>
      <c r="E79" s="50">
        <f>IF(A79="","",IFERROR(D79*VLOOKUP("Prix moyen réservation terrain",'Hypothèses'!$A$5:$B$24,2,FALSE),0))</f>
        <v/>
      </c>
      <c r="F79" s="50">
        <f>IF(A79="","",IFERROR(VLOOKUP("Nombre d'abonnés année 1",'Hypothèses'!$A$5:$B$24,2,FALSE)*VLOOKUP("Abonnement mensuel moyen",'Hypothèses'!$A$5:$B$24,2,FALSE),0))</f>
        <v/>
      </c>
      <c r="G79" s="50">
        <f>IF(A79="","",IFERROR(E79*VLOOKUP("Taux de CA coaching / stages",'Hypothèses'!$A$5:$B$24,2,FALSE),0))</f>
        <v/>
      </c>
      <c r="H79" s="50">
        <f>IF(A79="","",IFERROR(D79*VLOOKUP("Panier moyen bar / boutique",'Hypothèses'!$A$5:$B$24,2,FALSE),0))</f>
        <v/>
      </c>
      <c r="I79" s="50">
        <f>IF(A79="","",SUM(E79:H79))</f>
        <v/>
      </c>
      <c r="J79" s="50">
        <f>IF(A79="","",IFERROR(I79*VLOOKUP("Taux de TVA principal",'Hypothèses'!$A$5:$B$24,2,FALSE),0))</f>
        <v/>
      </c>
      <c r="K79" s="50">
        <f>IF(A79="","",IFERROR(I79*VLOOKUP("Taux de charges variables",'Hypothèses'!$A$5:$B$24,2,FALSE),0))</f>
        <v/>
      </c>
      <c r="L79" s="50">
        <f>IF(A79="","",IFERROR(VLOOKUP("Masse salariale annuelle",'Hypothèses'!$A$5:$B$24,2,FALSE)/12,0))</f>
        <v/>
      </c>
      <c r="M79" s="50">
        <f>IF(A79="","",IFERROR(VLOOKUP("Loyer annuel",'Hypothèses'!$A$5:$B$24,2,FALSE)/12,0))</f>
        <v/>
      </c>
      <c r="N79" s="50">
        <f>IF(A79="","",IFERROR(VLOOKUP("Budget marketing annuel",'Hypothèses'!$A$5:$B$24,2,FALSE)/12,0))</f>
        <v/>
      </c>
      <c r="O79" s="50">
        <f>IF(A79="","",IFERROR(VLOOKUP("Autres charges mensuelles",'Hypothèses'!$A$5:$B$24,2,FALSE),0))</f>
        <v/>
      </c>
      <c r="P79" s="50">
        <f>IF(A79="","",IFERROR(I79-SUM(K79:O79),0))</f>
        <v/>
      </c>
      <c r="Q79" s="50">
        <f>IF(A79="","",IFERROR('Investissements'!$K$105/12,0))</f>
        <v/>
      </c>
      <c r="R79" s="50">
        <f>IF(A79="","",IFERROR(P79-Q79,0))</f>
        <v/>
      </c>
      <c r="S79" s="50">
        <f>IF(A79="","",'Hypothèses'!$B$21+SUM($P$5:P79)-SUMIFS('Investissements'!$I$5:$I$104,'Investissements'!$D$5:$D$104,"&lt;="&amp;(A79+32-DAY(A79+32))))</f>
        <v/>
      </c>
      <c r="T79" s="57">
        <f>IF(A79="","",IFERROR(P79/I79,0))</f>
        <v/>
      </c>
      <c r="U79" s="57">
        <f>IF(A79="","",IFERROR(VLOOKUP("Taux d'occupation cible année 1",'Hypothèses'!$A$5:$B$24,2,FALSE),0))</f>
        <v/>
      </c>
    </row>
    <row r="80">
      <c r="A80" s="47" t="n"/>
      <c r="B80" s="55" t="n"/>
      <c r="C80" s="58">
        <f>IF(A80="","",IFERROR((VLOOKUP("Nombre de terrains indoor",'Hypothèses'!$A$5:$B$24,2,FALSE)+VLOOKUP("Nombre de terrains outdoor",'Hypothèses'!$A$5:$B$24,2,FALSE))*VLOOKUP("Heures d'ouverture par terrain / mois",'Hypothèses'!$A$5:$B$24,2,FALSE),0))</f>
        <v/>
      </c>
      <c r="D80" s="58">
        <f>IF(A80="","",IFERROR(C80*B80,0))</f>
        <v/>
      </c>
      <c r="E80" s="52">
        <f>IF(A80="","",IFERROR(D80*VLOOKUP("Prix moyen réservation terrain",'Hypothèses'!$A$5:$B$24,2,FALSE),0))</f>
        <v/>
      </c>
      <c r="F80" s="52">
        <f>IF(A80="","",IFERROR(VLOOKUP("Nombre d'abonnés année 1",'Hypothèses'!$A$5:$B$24,2,FALSE)*VLOOKUP("Abonnement mensuel moyen",'Hypothèses'!$A$5:$B$24,2,FALSE),0))</f>
        <v/>
      </c>
      <c r="G80" s="52">
        <f>IF(A80="","",IFERROR(E80*VLOOKUP("Taux de CA coaching / stages",'Hypothèses'!$A$5:$B$24,2,FALSE),0))</f>
        <v/>
      </c>
      <c r="H80" s="52">
        <f>IF(A80="","",IFERROR(D80*VLOOKUP("Panier moyen bar / boutique",'Hypothèses'!$A$5:$B$24,2,FALSE),0))</f>
        <v/>
      </c>
      <c r="I80" s="52">
        <f>IF(A80="","",SUM(E80:H80))</f>
        <v/>
      </c>
      <c r="J80" s="52">
        <f>IF(A80="","",IFERROR(I80*VLOOKUP("Taux de TVA principal",'Hypothèses'!$A$5:$B$24,2,FALSE),0))</f>
        <v/>
      </c>
      <c r="K80" s="52">
        <f>IF(A80="","",IFERROR(I80*VLOOKUP("Taux de charges variables",'Hypothèses'!$A$5:$B$24,2,FALSE),0))</f>
        <v/>
      </c>
      <c r="L80" s="52">
        <f>IF(A80="","",IFERROR(VLOOKUP("Masse salariale annuelle",'Hypothèses'!$A$5:$B$24,2,FALSE)/12,0))</f>
        <v/>
      </c>
      <c r="M80" s="52">
        <f>IF(A80="","",IFERROR(VLOOKUP("Loyer annuel",'Hypothèses'!$A$5:$B$24,2,FALSE)/12,0))</f>
        <v/>
      </c>
      <c r="N80" s="52">
        <f>IF(A80="","",IFERROR(VLOOKUP("Budget marketing annuel",'Hypothèses'!$A$5:$B$24,2,FALSE)/12,0))</f>
        <v/>
      </c>
      <c r="O80" s="52">
        <f>IF(A80="","",IFERROR(VLOOKUP("Autres charges mensuelles",'Hypothèses'!$A$5:$B$24,2,FALSE),0))</f>
        <v/>
      </c>
      <c r="P80" s="52">
        <f>IF(A80="","",IFERROR(I80-SUM(K80:O80),0))</f>
        <v/>
      </c>
      <c r="Q80" s="52">
        <f>IF(A80="","",IFERROR('Investissements'!$K$105/12,0))</f>
        <v/>
      </c>
      <c r="R80" s="52">
        <f>IF(A80="","",IFERROR(P80-Q80,0))</f>
        <v/>
      </c>
      <c r="S80" s="52">
        <f>IF(A80="","",'Hypothèses'!$B$21+SUM($P$5:P80)-SUMIFS('Investissements'!$I$5:$I$104,'Investissements'!$D$5:$D$104,"&lt;="&amp;(A80+32-DAY(A80+32))))</f>
        <v/>
      </c>
      <c r="T80" s="59">
        <f>IF(A80="","",IFERROR(P80/I80,0))</f>
        <v/>
      </c>
      <c r="U80" s="59">
        <f>IF(A80="","",IFERROR(VLOOKUP("Taux d'occupation cible année 1",'Hypothèses'!$A$5:$B$24,2,FALSE),0))</f>
        <v/>
      </c>
    </row>
    <row r="81">
      <c r="A81" s="47" t="n"/>
      <c r="B81" s="55" t="n"/>
      <c r="C81" s="56">
        <f>IF(A81="","",IFERROR((VLOOKUP("Nombre de terrains indoor",'Hypothèses'!$A$5:$B$24,2,FALSE)+VLOOKUP("Nombre de terrains outdoor",'Hypothèses'!$A$5:$B$24,2,FALSE))*VLOOKUP("Heures d'ouverture par terrain / mois",'Hypothèses'!$A$5:$B$24,2,FALSE),0))</f>
        <v/>
      </c>
      <c r="D81" s="56">
        <f>IF(A81="","",IFERROR(C81*B81,0))</f>
        <v/>
      </c>
      <c r="E81" s="50">
        <f>IF(A81="","",IFERROR(D81*VLOOKUP("Prix moyen réservation terrain",'Hypothèses'!$A$5:$B$24,2,FALSE),0))</f>
        <v/>
      </c>
      <c r="F81" s="50">
        <f>IF(A81="","",IFERROR(VLOOKUP("Nombre d'abonnés année 1",'Hypothèses'!$A$5:$B$24,2,FALSE)*VLOOKUP("Abonnement mensuel moyen",'Hypothèses'!$A$5:$B$24,2,FALSE),0))</f>
        <v/>
      </c>
      <c r="G81" s="50">
        <f>IF(A81="","",IFERROR(E81*VLOOKUP("Taux de CA coaching / stages",'Hypothèses'!$A$5:$B$24,2,FALSE),0))</f>
        <v/>
      </c>
      <c r="H81" s="50">
        <f>IF(A81="","",IFERROR(D81*VLOOKUP("Panier moyen bar / boutique",'Hypothèses'!$A$5:$B$24,2,FALSE),0))</f>
        <v/>
      </c>
      <c r="I81" s="50">
        <f>IF(A81="","",SUM(E81:H81))</f>
        <v/>
      </c>
      <c r="J81" s="50">
        <f>IF(A81="","",IFERROR(I81*VLOOKUP("Taux de TVA principal",'Hypothèses'!$A$5:$B$24,2,FALSE),0))</f>
        <v/>
      </c>
      <c r="K81" s="50">
        <f>IF(A81="","",IFERROR(I81*VLOOKUP("Taux de charges variables",'Hypothèses'!$A$5:$B$24,2,FALSE),0))</f>
        <v/>
      </c>
      <c r="L81" s="50">
        <f>IF(A81="","",IFERROR(VLOOKUP("Masse salariale annuelle",'Hypothèses'!$A$5:$B$24,2,FALSE)/12,0))</f>
        <v/>
      </c>
      <c r="M81" s="50">
        <f>IF(A81="","",IFERROR(VLOOKUP("Loyer annuel",'Hypothèses'!$A$5:$B$24,2,FALSE)/12,0))</f>
        <v/>
      </c>
      <c r="N81" s="50">
        <f>IF(A81="","",IFERROR(VLOOKUP("Budget marketing annuel",'Hypothèses'!$A$5:$B$24,2,FALSE)/12,0))</f>
        <v/>
      </c>
      <c r="O81" s="50">
        <f>IF(A81="","",IFERROR(VLOOKUP("Autres charges mensuelles",'Hypothèses'!$A$5:$B$24,2,FALSE),0))</f>
        <v/>
      </c>
      <c r="P81" s="50">
        <f>IF(A81="","",IFERROR(I81-SUM(K81:O81),0))</f>
        <v/>
      </c>
      <c r="Q81" s="50">
        <f>IF(A81="","",IFERROR('Investissements'!$K$105/12,0))</f>
        <v/>
      </c>
      <c r="R81" s="50">
        <f>IF(A81="","",IFERROR(P81-Q81,0))</f>
        <v/>
      </c>
      <c r="S81" s="50">
        <f>IF(A81="","",'Hypothèses'!$B$21+SUM($P$5:P81)-SUMIFS('Investissements'!$I$5:$I$104,'Investissements'!$D$5:$D$104,"&lt;="&amp;(A81+32-DAY(A81+32))))</f>
        <v/>
      </c>
      <c r="T81" s="57">
        <f>IF(A81="","",IFERROR(P81/I81,0))</f>
        <v/>
      </c>
      <c r="U81" s="57">
        <f>IF(A81="","",IFERROR(VLOOKUP("Taux d'occupation cible année 1",'Hypothèses'!$A$5:$B$24,2,FALSE),0))</f>
        <v/>
      </c>
    </row>
    <row r="82">
      <c r="A82" s="47" t="n"/>
      <c r="B82" s="55" t="n"/>
      <c r="C82" s="58">
        <f>IF(A82="","",IFERROR((VLOOKUP("Nombre de terrains indoor",'Hypothèses'!$A$5:$B$24,2,FALSE)+VLOOKUP("Nombre de terrains outdoor",'Hypothèses'!$A$5:$B$24,2,FALSE))*VLOOKUP("Heures d'ouverture par terrain / mois",'Hypothèses'!$A$5:$B$24,2,FALSE),0))</f>
        <v/>
      </c>
      <c r="D82" s="58">
        <f>IF(A82="","",IFERROR(C82*B82,0))</f>
        <v/>
      </c>
      <c r="E82" s="52">
        <f>IF(A82="","",IFERROR(D82*VLOOKUP("Prix moyen réservation terrain",'Hypothèses'!$A$5:$B$24,2,FALSE),0))</f>
        <v/>
      </c>
      <c r="F82" s="52">
        <f>IF(A82="","",IFERROR(VLOOKUP("Nombre d'abonnés année 1",'Hypothèses'!$A$5:$B$24,2,FALSE)*VLOOKUP("Abonnement mensuel moyen",'Hypothèses'!$A$5:$B$24,2,FALSE),0))</f>
        <v/>
      </c>
      <c r="G82" s="52">
        <f>IF(A82="","",IFERROR(E82*VLOOKUP("Taux de CA coaching / stages",'Hypothèses'!$A$5:$B$24,2,FALSE),0))</f>
        <v/>
      </c>
      <c r="H82" s="52">
        <f>IF(A82="","",IFERROR(D82*VLOOKUP("Panier moyen bar / boutique",'Hypothèses'!$A$5:$B$24,2,FALSE),0))</f>
        <v/>
      </c>
      <c r="I82" s="52">
        <f>IF(A82="","",SUM(E82:H82))</f>
        <v/>
      </c>
      <c r="J82" s="52">
        <f>IF(A82="","",IFERROR(I82*VLOOKUP("Taux de TVA principal",'Hypothèses'!$A$5:$B$24,2,FALSE),0))</f>
        <v/>
      </c>
      <c r="K82" s="52">
        <f>IF(A82="","",IFERROR(I82*VLOOKUP("Taux de charges variables",'Hypothèses'!$A$5:$B$24,2,FALSE),0))</f>
        <v/>
      </c>
      <c r="L82" s="52">
        <f>IF(A82="","",IFERROR(VLOOKUP("Masse salariale annuelle",'Hypothèses'!$A$5:$B$24,2,FALSE)/12,0))</f>
        <v/>
      </c>
      <c r="M82" s="52">
        <f>IF(A82="","",IFERROR(VLOOKUP("Loyer annuel",'Hypothèses'!$A$5:$B$24,2,FALSE)/12,0))</f>
        <v/>
      </c>
      <c r="N82" s="52">
        <f>IF(A82="","",IFERROR(VLOOKUP("Budget marketing annuel",'Hypothèses'!$A$5:$B$24,2,FALSE)/12,0))</f>
        <v/>
      </c>
      <c r="O82" s="52">
        <f>IF(A82="","",IFERROR(VLOOKUP("Autres charges mensuelles",'Hypothèses'!$A$5:$B$24,2,FALSE),0))</f>
        <v/>
      </c>
      <c r="P82" s="52">
        <f>IF(A82="","",IFERROR(I82-SUM(K82:O82),0))</f>
        <v/>
      </c>
      <c r="Q82" s="52">
        <f>IF(A82="","",IFERROR('Investissements'!$K$105/12,0))</f>
        <v/>
      </c>
      <c r="R82" s="52">
        <f>IF(A82="","",IFERROR(P82-Q82,0))</f>
        <v/>
      </c>
      <c r="S82" s="52">
        <f>IF(A82="","",'Hypothèses'!$B$21+SUM($P$5:P82)-SUMIFS('Investissements'!$I$5:$I$104,'Investissements'!$D$5:$D$104,"&lt;="&amp;(A82+32-DAY(A82+32))))</f>
        <v/>
      </c>
      <c r="T82" s="59">
        <f>IF(A82="","",IFERROR(P82/I82,0))</f>
        <v/>
      </c>
      <c r="U82" s="59">
        <f>IF(A82="","",IFERROR(VLOOKUP("Taux d'occupation cible année 1",'Hypothèses'!$A$5:$B$24,2,FALSE),0))</f>
        <v/>
      </c>
    </row>
    <row r="83">
      <c r="A83" s="47" t="n"/>
      <c r="B83" s="55" t="n"/>
      <c r="C83" s="56">
        <f>IF(A83="","",IFERROR((VLOOKUP("Nombre de terrains indoor",'Hypothèses'!$A$5:$B$24,2,FALSE)+VLOOKUP("Nombre de terrains outdoor",'Hypothèses'!$A$5:$B$24,2,FALSE))*VLOOKUP("Heures d'ouverture par terrain / mois",'Hypothèses'!$A$5:$B$24,2,FALSE),0))</f>
        <v/>
      </c>
      <c r="D83" s="56">
        <f>IF(A83="","",IFERROR(C83*B83,0))</f>
        <v/>
      </c>
      <c r="E83" s="50">
        <f>IF(A83="","",IFERROR(D83*VLOOKUP("Prix moyen réservation terrain",'Hypothèses'!$A$5:$B$24,2,FALSE),0))</f>
        <v/>
      </c>
      <c r="F83" s="50">
        <f>IF(A83="","",IFERROR(VLOOKUP("Nombre d'abonnés année 1",'Hypothèses'!$A$5:$B$24,2,FALSE)*VLOOKUP("Abonnement mensuel moyen",'Hypothèses'!$A$5:$B$24,2,FALSE),0))</f>
        <v/>
      </c>
      <c r="G83" s="50">
        <f>IF(A83="","",IFERROR(E83*VLOOKUP("Taux de CA coaching / stages",'Hypothèses'!$A$5:$B$24,2,FALSE),0))</f>
        <v/>
      </c>
      <c r="H83" s="50">
        <f>IF(A83="","",IFERROR(D83*VLOOKUP("Panier moyen bar / boutique",'Hypothèses'!$A$5:$B$24,2,FALSE),0))</f>
        <v/>
      </c>
      <c r="I83" s="50">
        <f>IF(A83="","",SUM(E83:H83))</f>
        <v/>
      </c>
      <c r="J83" s="50">
        <f>IF(A83="","",IFERROR(I83*VLOOKUP("Taux de TVA principal",'Hypothèses'!$A$5:$B$24,2,FALSE),0))</f>
        <v/>
      </c>
      <c r="K83" s="50">
        <f>IF(A83="","",IFERROR(I83*VLOOKUP("Taux de charges variables",'Hypothèses'!$A$5:$B$24,2,FALSE),0))</f>
        <v/>
      </c>
      <c r="L83" s="50">
        <f>IF(A83="","",IFERROR(VLOOKUP("Masse salariale annuelle",'Hypothèses'!$A$5:$B$24,2,FALSE)/12,0))</f>
        <v/>
      </c>
      <c r="M83" s="50">
        <f>IF(A83="","",IFERROR(VLOOKUP("Loyer annuel",'Hypothèses'!$A$5:$B$24,2,FALSE)/12,0))</f>
        <v/>
      </c>
      <c r="N83" s="50">
        <f>IF(A83="","",IFERROR(VLOOKUP("Budget marketing annuel",'Hypothèses'!$A$5:$B$24,2,FALSE)/12,0))</f>
        <v/>
      </c>
      <c r="O83" s="50">
        <f>IF(A83="","",IFERROR(VLOOKUP("Autres charges mensuelles",'Hypothèses'!$A$5:$B$24,2,FALSE),0))</f>
        <v/>
      </c>
      <c r="P83" s="50">
        <f>IF(A83="","",IFERROR(I83-SUM(K83:O83),0))</f>
        <v/>
      </c>
      <c r="Q83" s="50">
        <f>IF(A83="","",IFERROR('Investissements'!$K$105/12,0))</f>
        <v/>
      </c>
      <c r="R83" s="50">
        <f>IF(A83="","",IFERROR(P83-Q83,0))</f>
        <v/>
      </c>
      <c r="S83" s="50">
        <f>IF(A83="","",'Hypothèses'!$B$21+SUM($P$5:P83)-SUMIFS('Investissements'!$I$5:$I$104,'Investissements'!$D$5:$D$104,"&lt;="&amp;(A83+32-DAY(A83+32))))</f>
        <v/>
      </c>
      <c r="T83" s="57">
        <f>IF(A83="","",IFERROR(P83/I83,0))</f>
        <v/>
      </c>
      <c r="U83" s="57">
        <f>IF(A83="","",IFERROR(VLOOKUP("Taux d'occupation cible année 1",'Hypothèses'!$A$5:$B$24,2,FALSE),0))</f>
        <v/>
      </c>
    </row>
    <row r="84">
      <c r="A84" s="47" t="n"/>
      <c r="B84" s="55" t="n"/>
      <c r="C84" s="58">
        <f>IF(A84="","",IFERROR((VLOOKUP("Nombre de terrains indoor",'Hypothèses'!$A$5:$B$24,2,FALSE)+VLOOKUP("Nombre de terrains outdoor",'Hypothèses'!$A$5:$B$24,2,FALSE))*VLOOKUP("Heures d'ouverture par terrain / mois",'Hypothèses'!$A$5:$B$24,2,FALSE),0))</f>
        <v/>
      </c>
      <c r="D84" s="58">
        <f>IF(A84="","",IFERROR(C84*B84,0))</f>
        <v/>
      </c>
      <c r="E84" s="52">
        <f>IF(A84="","",IFERROR(D84*VLOOKUP("Prix moyen réservation terrain",'Hypothèses'!$A$5:$B$24,2,FALSE),0))</f>
        <v/>
      </c>
      <c r="F84" s="52">
        <f>IF(A84="","",IFERROR(VLOOKUP("Nombre d'abonnés année 1",'Hypothèses'!$A$5:$B$24,2,FALSE)*VLOOKUP("Abonnement mensuel moyen",'Hypothèses'!$A$5:$B$24,2,FALSE),0))</f>
        <v/>
      </c>
      <c r="G84" s="52">
        <f>IF(A84="","",IFERROR(E84*VLOOKUP("Taux de CA coaching / stages",'Hypothèses'!$A$5:$B$24,2,FALSE),0))</f>
        <v/>
      </c>
      <c r="H84" s="52">
        <f>IF(A84="","",IFERROR(D84*VLOOKUP("Panier moyen bar / boutique",'Hypothèses'!$A$5:$B$24,2,FALSE),0))</f>
        <v/>
      </c>
      <c r="I84" s="52">
        <f>IF(A84="","",SUM(E84:H84))</f>
        <v/>
      </c>
      <c r="J84" s="52">
        <f>IF(A84="","",IFERROR(I84*VLOOKUP("Taux de TVA principal",'Hypothèses'!$A$5:$B$24,2,FALSE),0))</f>
        <v/>
      </c>
      <c r="K84" s="52">
        <f>IF(A84="","",IFERROR(I84*VLOOKUP("Taux de charges variables",'Hypothèses'!$A$5:$B$24,2,FALSE),0))</f>
        <v/>
      </c>
      <c r="L84" s="52">
        <f>IF(A84="","",IFERROR(VLOOKUP("Masse salariale annuelle",'Hypothèses'!$A$5:$B$24,2,FALSE)/12,0))</f>
        <v/>
      </c>
      <c r="M84" s="52">
        <f>IF(A84="","",IFERROR(VLOOKUP("Loyer annuel",'Hypothèses'!$A$5:$B$24,2,FALSE)/12,0))</f>
        <v/>
      </c>
      <c r="N84" s="52">
        <f>IF(A84="","",IFERROR(VLOOKUP("Budget marketing annuel",'Hypothèses'!$A$5:$B$24,2,FALSE)/12,0))</f>
        <v/>
      </c>
      <c r="O84" s="52">
        <f>IF(A84="","",IFERROR(VLOOKUP("Autres charges mensuelles",'Hypothèses'!$A$5:$B$24,2,FALSE),0))</f>
        <v/>
      </c>
      <c r="P84" s="52">
        <f>IF(A84="","",IFERROR(I84-SUM(K84:O84),0))</f>
        <v/>
      </c>
      <c r="Q84" s="52">
        <f>IF(A84="","",IFERROR('Investissements'!$K$105/12,0))</f>
        <v/>
      </c>
      <c r="R84" s="52">
        <f>IF(A84="","",IFERROR(P84-Q84,0))</f>
        <v/>
      </c>
      <c r="S84" s="52">
        <f>IF(A84="","",'Hypothèses'!$B$21+SUM($P$5:P84)-SUMIFS('Investissements'!$I$5:$I$104,'Investissements'!$D$5:$D$104,"&lt;="&amp;(A84+32-DAY(A84+32))))</f>
        <v/>
      </c>
      <c r="T84" s="59">
        <f>IF(A84="","",IFERROR(P84/I84,0))</f>
        <v/>
      </c>
      <c r="U84" s="59">
        <f>IF(A84="","",IFERROR(VLOOKUP("Taux d'occupation cible année 1",'Hypothèses'!$A$5:$B$24,2,FALSE),0))</f>
        <v/>
      </c>
    </row>
    <row r="85">
      <c r="A85" s="47" t="n"/>
      <c r="B85" s="55" t="n"/>
      <c r="C85" s="56">
        <f>IF(A85="","",IFERROR((VLOOKUP("Nombre de terrains indoor",'Hypothèses'!$A$5:$B$24,2,FALSE)+VLOOKUP("Nombre de terrains outdoor",'Hypothèses'!$A$5:$B$24,2,FALSE))*VLOOKUP("Heures d'ouverture par terrain / mois",'Hypothèses'!$A$5:$B$24,2,FALSE),0))</f>
        <v/>
      </c>
      <c r="D85" s="56">
        <f>IF(A85="","",IFERROR(C85*B85,0))</f>
        <v/>
      </c>
      <c r="E85" s="50">
        <f>IF(A85="","",IFERROR(D85*VLOOKUP("Prix moyen réservation terrain",'Hypothèses'!$A$5:$B$24,2,FALSE),0))</f>
        <v/>
      </c>
      <c r="F85" s="50">
        <f>IF(A85="","",IFERROR(VLOOKUP("Nombre d'abonnés année 1",'Hypothèses'!$A$5:$B$24,2,FALSE)*VLOOKUP("Abonnement mensuel moyen",'Hypothèses'!$A$5:$B$24,2,FALSE),0))</f>
        <v/>
      </c>
      <c r="G85" s="50">
        <f>IF(A85="","",IFERROR(E85*VLOOKUP("Taux de CA coaching / stages",'Hypothèses'!$A$5:$B$24,2,FALSE),0))</f>
        <v/>
      </c>
      <c r="H85" s="50">
        <f>IF(A85="","",IFERROR(D85*VLOOKUP("Panier moyen bar / boutique",'Hypothèses'!$A$5:$B$24,2,FALSE),0))</f>
        <v/>
      </c>
      <c r="I85" s="50">
        <f>IF(A85="","",SUM(E85:H85))</f>
        <v/>
      </c>
      <c r="J85" s="50">
        <f>IF(A85="","",IFERROR(I85*VLOOKUP("Taux de TVA principal",'Hypothèses'!$A$5:$B$24,2,FALSE),0))</f>
        <v/>
      </c>
      <c r="K85" s="50">
        <f>IF(A85="","",IFERROR(I85*VLOOKUP("Taux de charges variables",'Hypothèses'!$A$5:$B$24,2,FALSE),0))</f>
        <v/>
      </c>
      <c r="L85" s="50">
        <f>IF(A85="","",IFERROR(VLOOKUP("Masse salariale annuelle",'Hypothèses'!$A$5:$B$24,2,FALSE)/12,0))</f>
        <v/>
      </c>
      <c r="M85" s="50">
        <f>IF(A85="","",IFERROR(VLOOKUP("Loyer annuel",'Hypothèses'!$A$5:$B$24,2,FALSE)/12,0))</f>
        <v/>
      </c>
      <c r="N85" s="50">
        <f>IF(A85="","",IFERROR(VLOOKUP("Budget marketing annuel",'Hypothèses'!$A$5:$B$24,2,FALSE)/12,0))</f>
        <v/>
      </c>
      <c r="O85" s="50">
        <f>IF(A85="","",IFERROR(VLOOKUP("Autres charges mensuelles",'Hypothèses'!$A$5:$B$24,2,FALSE),0))</f>
        <v/>
      </c>
      <c r="P85" s="50">
        <f>IF(A85="","",IFERROR(I85-SUM(K85:O85),0))</f>
        <v/>
      </c>
      <c r="Q85" s="50">
        <f>IF(A85="","",IFERROR('Investissements'!$K$105/12,0))</f>
        <v/>
      </c>
      <c r="R85" s="50">
        <f>IF(A85="","",IFERROR(P85-Q85,0))</f>
        <v/>
      </c>
      <c r="S85" s="50">
        <f>IF(A85="","",'Hypothèses'!$B$21+SUM($P$5:P85)-SUMIFS('Investissements'!$I$5:$I$104,'Investissements'!$D$5:$D$104,"&lt;="&amp;(A85+32-DAY(A85+32))))</f>
        <v/>
      </c>
      <c r="T85" s="57">
        <f>IF(A85="","",IFERROR(P85/I85,0))</f>
        <v/>
      </c>
      <c r="U85" s="57">
        <f>IF(A85="","",IFERROR(VLOOKUP("Taux d'occupation cible année 1",'Hypothèses'!$A$5:$B$24,2,FALSE),0))</f>
        <v/>
      </c>
    </row>
    <row r="86">
      <c r="A86" s="47" t="n"/>
      <c r="B86" s="55" t="n"/>
      <c r="C86" s="58">
        <f>IF(A86="","",IFERROR((VLOOKUP("Nombre de terrains indoor",'Hypothèses'!$A$5:$B$24,2,FALSE)+VLOOKUP("Nombre de terrains outdoor",'Hypothèses'!$A$5:$B$24,2,FALSE))*VLOOKUP("Heures d'ouverture par terrain / mois",'Hypothèses'!$A$5:$B$24,2,FALSE),0))</f>
        <v/>
      </c>
      <c r="D86" s="58">
        <f>IF(A86="","",IFERROR(C86*B86,0))</f>
        <v/>
      </c>
      <c r="E86" s="52">
        <f>IF(A86="","",IFERROR(D86*VLOOKUP("Prix moyen réservation terrain",'Hypothèses'!$A$5:$B$24,2,FALSE),0))</f>
        <v/>
      </c>
      <c r="F86" s="52">
        <f>IF(A86="","",IFERROR(VLOOKUP("Nombre d'abonnés année 1",'Hypothèses'!$A$5:$B$24,2,FALSE)*VLOOKUP("Abonnement mensuel moyen",'Hypothèses'!$A$5:$B$24,2,FALSE),0))</f>
        <v/>
      </c>
      <c r="G86" s="52">
        <f>IF(A86="","",IFERROR(E86*VLOOKUP("Taux de CA coaching / stages",'Hypothèses'!$A$5:$B$24,2,FALSE),0))</f>
        <v/>
      </c>
      <c r="H86" s="52">
        <f>IF(A86="","",IFERROR(D86*VLOOKUP("Panier moyen bar / boutique",'Hypothèses'!$A$5:$B$24,2,FALSE),0))</f>
        <v/>
      </c>
      <c r="I86" s="52">
        <f>IF(A86="","",SUM(E86:H86))</f>
        <v/>
      </c>
      <c r="J86" s="52">
        <f>IF(A86="","",IFERROR(I86*VLOOKUP("Taux de TVA principal",'Hypothèses'!$A$5:$B$24,2,FALSE),0))</f>
        <v/>
      </c>
      <c r="K86" s="52">
        <f>IF(A86="","",IFERROR(I86*VLOOKUP("Taux de charges variables",'Hypothèses'!$A$5:$B$24,2,FALSE),0))</f>
        <v/>
      </c>
      <c r="L86" s="52">
        <f>IF(A86="","",IFERROR(VLOOKUP("Masse salariale annuelle",'Hypothèses'!$A$5:$B$24,2,FALSE)/12,0))</f>
        <v/>
      </c>
      <c r="M86" s="52">
        <f>IF(A86="","",IFERROR(VLOOKUP("Loyer annuel",'Hypothèses'!$A$5:$B$24,2,FALSE)/12,0))</f>
        <v/>
      </c>
      <c r="N86" s="52">
        <f>IF(A86="","",IFERROR(VLOOKUP("Budget marketing annuel",'Hypothèses'!$A$5:$B$24,2,FALSE)/12,0))</f>
        <v/>
      </c>
      <c r="O86" s="52">
        <f>IF(A86="","",IFERROR(VLOOKUP("Autres charges mensuelles",'Hypothèses'!$A$5:$B$24,2,FALSE),0))</f>
        <v/>
      </c>
      <c r="P86" s="52">
        <f>IF(A86="","",IFERROR(I86-SUM(K86:O86),0))</f>
        <v/>
      </c>
      <c r="Q86" s="52">
        <f>IF(A86="","",IFERROR('Investissements'!$K$105/12,0))</f>
        <v/>
      </c>
      <c r="R86" s="52">
        <f>IF(A86="","",IFERROR(P86-Q86,0))</f>
        <v/>
      </c>
      <c r="S86" s="52">
        <f>IF(A86="","",'Hypothèses'!$B$21+SUM($P$5:P86)-SUMIFS('Investissements'!$I$5:$I$104,'Investissements'!$D$5:$D$104,"&lt;="&amp;(A86+32-DAY(A86+32))))</f>
        <v/>
      </c>
      <c r="T86" s="59">
        <f>IF(A86="","",IFERROR(P86/I86,0))</f>
        <v/>
      </c>
      <c r="U86" s="59">
        <f>IF(A86="","",IFERROR(VLOOKUP("Taux d'occupation cible année 1",'Hypothèses'!$A$5:$B$24,2,FALSE),0))</f>
        <v/>
      </c>
    </row>
    <row r="87">
      <c r="A87" s="47" t="n"/>
      <c r="B87" s="55" t="n"/>
      <c r="C87" s="56">
        <f>IF(A87="","",IFERROR((VLOOKUP("Nombre de terrains indoor",'Hypothèses'!$A$5:$B$24,2,FALSE)+VLOOKUP("Nombre de terrains outdoor",'Hypothèses'!$A$5:$B$24,2,FALSE))*VLOOKUP("Heures d'ouverture par terrain / mois",'Hypothèses'!$A$5:$B$24,2,FALSE),0))</f>
        <v/>
      </c>
      <c r="D87" s="56">
        <f>IF(A87="","",IFERROR(C87*B87,0))</f>
        <v/>
      </c>
      <c r="E87" s="50">
        <f>IF(A87="","",IFERROR(D87*VLOOKUP("Prix moyen réservation terrain",'Hypothèses'!$A$5:$B$24,2,FALSE),0))</f>
        <v/>
      </c>
      <c r="F87" s="50">
        <f>IF(A87="","",IFERROR(VLOOKUP("Nombre d'abonnés année 1",'Hypothèses'!$A$5:$B$24,2,FALSE)*VLOOKUP("Abonnement mensuel moyen",'Hypothèses'!$A$5:$B$24,2,FALSE),0))</f>
        <v/>
      </c>
      <c r="G87" s="50">
        <f>IF(A87="","",IFERROR(E87*VLOOKUP("Taux de CA coaching / stages",'Hypothèses'!$A$5:$B$24,2,FALSE),0))</f>
        <v/>
      </c>
      <c r="H87" s="50">
        <f>IF(A87="","",IFERROR(D87*VLOOKUP("Panier moyen bar / boutique",'Hypothèses'!$A$5:$B$24,2,FALSE),0))</f>
        <v/>
      </c>
      <c r="I87" s="50">
        <f>IF(A87="","",SUM(E87:H87))</f>
        <v/>
      </c>
      <c r="J87" s="50">
        <f>IF(A87="","",IFERROR(I87*VLOOKUP("Taux de TVA principal",'Hypothèses'!$A$5:$B$24,2,FALSE),0))</f>
        <v/>
      </c>
      <c r="K87" s="50">
        <f>IF(A87="","",IFERROR(I87*VLOOKUP("Taux de charges variables",'Hypothèses'!$A$5:$B$24,2,FALSE),0))</f>
        <v/>
      </c>
      <c r="L87" s="50">
        <f>IF(A87="","",IFERROR(VLOOKUP("Masse salariale annuelle",'Hypothèses'!$A$5:$B$24,2,FALSE)/12,0))</f>
        <v/>
      </c>
      <c r="M87" s="50">
        <f>IF(A87="","",IFERROR(VLOOKUP("Loyer annuel",'Hypothèses'!$A$5:$B$24,2,FALSE)/12,0))</f>
        <v/>
      </c>
      <c r="N87" s="50">
        <f>IF(A87="","",IFERROR(VLOOKUP("Budget marketing annuel",'Hypothèses'!$A$5:$B$24,2,FALSE)/12,0))</f>
        <v/>
      </c>
      <c r="O87" s="50">
        <f>IF(A87="","",IFERROR(VLOOKUP("Autres charges mensuelles",'Hypothèses'!$A$5:$B$24,2,FALSE),0))</f>
        <v/>
      </c>
      <c r="P87" s="50">
        <f>IF(A87="","",IFERROR(I87-SUM(K87:O87),0))</f>
        <v/>
      </c>
      <c r="Q87" s="50">
        <f>IF(A87="","",IFERROR('Investissements'!$K$105/12,0))</f>
        <v/>
      </c>
      <c r="R87" s="50">
        <f>IF(A87="","",IFERROR(P87-Q87,0))</f>
        <v/>
      </c>
      <c r="S87" s="50">
        <f>IF(A87="","",'Hypothèses'!$B$21+SUM($P$5:P87)-SUMIFS('Investissements'!$I$5:$I$104,'Investissements'!$D$5:$D$104,"&lt;="&amp;(A87+32-DAY(A87+32))))</f>
        <v/>
      </c>
      <c r="T87" s="57">
        <f>IF(A87="","",IFERROR(P87/I87,0))</f>
        <v/>
      </c>
      <c r="U87" s="57">
        <f>IF(A87="","",IFERROR(VLOOKUP("Taux d'occupation cible année 1",'Hypothèses'!$A$5:$B$24,2,FALSE),0))</f>
        <v/>
      </c>
    </row>
    <row r="88">
      <c r="A88" s="47" t="n"/>
      <c r="B88" s="55" t="n"/>
      <c r="C88" s="58">
        <f>IF(A88="","",IFERROR((VLOOKUP("Nombre de terrains indoor",'Hypothèses'!$A$5:$B$24,2,FALSE)+VLOOKUP("Nombre de terrains outdoor",'Hypothèses'!$A$5:$B$24,2,FALSE))*VLOOKUP("Heures d'ouverture par terrain / mois",'Hypothèses'!$A$5:$B$24,2,FALSE),0))</f>
        <v/>
      </c>
      <c r="D88" s="58">
        <f>IF(A88="","",IFERROR(C88*B88,0))</f>
        <v/>
      </c>
      <c r="E88" s="52">
        <f>IF(A88="","",IFERROR(D88*VLOOKUP("Prix moyen réservation terrain",'Hypothèses'!$A$5:$B$24,2,FALSE),0))</f>
        <v/>
      </c>
      <c r="F88" s="52">
        <f>IF(A88="","",IFERROR(VLOOKUP("Nombre d'abonnés année 1",'Hypothèses'!$A$5:$B$24,2,FALSE)*VLOOKUP("Abonnement mensuel moyen",'Hypothèses'!$A$5:$B$24,2,FALSE),0))</f>
        <v/>
      </c>
      <c r="G88" s="52">
        <f>IF(A88="","",IFERROR(E88*VLOOKUP("Taux de CA coaching / stages",'Hypothèses'!$A$5:$B$24,2,FALSE),0))</f>
        <v/>
      </c>
      <c r="H88" s="52">
        <f>IF(A88="","",IFERROR(D88*VLOOKUP("Panier moyen bar / boutique",'Hypothèses'!$A$5:$B$24,2,FALSE),0))</f>
        <v/>
      </c>
      <c r="I88" s="52">
        <f>IF(A88="","",SUM(E88:H88))</f>
        <v/>
      </c>
      <c r="J88" s="52">
        <f>IF(A88="","",IFERROR(I88*VLOOKUP("Taux de TVA principal",'Hypothèses'!$A$5:$B$24,2,FALSE),0))</f>
        <v/>
      </c>
      <c r="K88" s="52">
        <f>IF(A88="","",IFERROR(I88*VLOOKUP("Taux de charges variables",'Hypothèses'!$A$5:$B$24,2,FALSE),0))</f>
        <v/>
      </c>
      <c r="L88" s="52">
        <f>IF(A88="","",IFERROR(VLOOKUP("Masse salariale annuelle",'Hypothèses'!$A$5:$B$24,2,FALSE)/12,0))</f>
        <v/>
      </c>
      <c r="M88" s="52">
        <f>IF(A88="","",IFERROR(VLOOKUP("Loyer annuel",'Hypothèses'!$A$5:$B$24,2,FALSE)/12,0))</f>
        <v/>
      </c>
      <c r="N88" s="52">
        <f>IF(A88="","",IFERROR(VLOOKUP("Budget marketing annuel",'Hypothèses'!$A$5:$B$24,2,FALSE)/12,0))</f>
        <v/>
      </c>
      <c r="O88" s="52">
        <f>IF(A88="","",IFERROR(VLOOKUP("Autres charges mensuelles",'Hypothèses'!$A$5:$B$24,2,FALSE),0))</f>
        <v/>
      </c>
      <c r="P88" s="52">
        <f>IF(A88="","",IFERROR(I88-SUM(K88:O88),0))</f>
        <v/>
      </c>
      <c r="Q88" s="52">
        <f>IF(A88="","",IFERROR('Investissements'!$K$105/12,0))</f>
        <v/>
      </c>
      <c r="R88" s="52">
        <f>IF(A88="","",IFERROR(P88-Q88,0))</f>
        <v/>
      </c>
      <c r="S88" s="52">
        <f>IF(A88="","",'Hypothèses'!$B$21+SUM($P$5:P88)-SUMIFS('Investissements'!$I$5:$I$104,'Investissements'!$D$5:$D$104,"&lt;="&amp;(A88+32-DAY(A88+32))))</f>
        <v/>
      </c>
      <c r="T88" s="59">
        <f>IF(A88="","",IFERROR(P88/I88,0))</f>
        <v/>
      </c>
      <c r="U88" s="59">
        <f>IF(A88="","",IFERROR(VLOOKUP("Taux d'occupation cible année 1",'Hypothèses'!$A$5:$B$24,2,FALSE),0))</f>
        <v/>
      </c>
    </row>
    <row r="89">
      <c r="A89" s="47" t="n"/>
      <c r="B89" s="55" t="n"/>
      <c r="C89" s="56">
        <f>IF(A89="","",IFERROR((VLOOKUP("Nombre de terrains indoor",'Hypothèses'!$A$5:$B$24,2,FALSE)+VLOOKUP("Nombre de terrains outdoor",'Hypothèses'!$A$5:$B$24,2,FALSE))*VLOOKUP("Heures d'ouverture par terrain / mois",'Hypothèses'!$A$5:$B$24,2,FALSE),0))</f>
        <v/>
      </c>
      <c r="D89" s="56">
        <f>IF(A89="","",IFERROR(C89*B89,0))</f>
        <v/>
      </c>
      <c r="E89" s="50">
        <f>IF(A89="","",IFERROR(D89*VLOOKUP("Prix moyen réservation terrain",'Hypothèses'!$A$5:$B$24,2,FALSE),0))</f>
        <v/>
      </c>
      <c r="F89" s="50">
        <f>IF(A89="","",IFERROR(VLOOKUP("Nombre d'abonnés année 1",'Hypothèses'!$A$5:$B$24,2,FALSE)*VLOOKUP("Abonnement mensuel moyen",'Hypothèses'!$A$5:$B$24,2,FALSE),0))</f>
        <v/>
      </c>
      <c r="G89" s="50">
        <f>IF(A89="","",IFERROR(E89*VLOOKUP("Taux de CA coaching / stages",'Hypothèses'!$A$5:$B$24,2,FALSE),0))</f>
        <v/>
      </c>
      <c r="H89" s="50">
        <f>IF(A89="","",IFERROR(D89*VLOOKUP("Panier moyen bar / boutique",'Hypothèses'!$A$5:$B$24,2,FALSE),0))</f>
        <v/>
      </c>
      <c r="I89" s="50">
        <f>IF(A89="","",SUM(E89:H89))</f>
        <v/>
      </c>
      <c r="J89" s="50">
        <f>IF(A89="","",IFERROR(I89*VLOOKUP("Taux de TVA principal",'Hypothèses'!$A$5:$B$24,2,FALSE),0))</f>
        <v/>
      </c>
      <c r="K89" s="50">
        <f>IF(A89="","",IFERROR(I89*VLOOKUP("Taux de charges variables",'Hypothèses'!$A$5:$B$24,2,FALSE),0))</f>
        <v/>
      </c>
      <c r="L89" s="50">
        <f>IF(A89="","",IFERROR(VLOOKUP("Masse salariale annuelle",'Hypothèses'!$A$5:$B$24,2,FALSE)/12,0))</f>
        <v/>
      </c>
      <c r="M89" s="50">
        <f>IF(A89="","",IFERROR(VLOOKUP("Loyer annuel",'Hypothèses'!$A$5:$B$24,2,FALSE)/12,0))</f>
        <v/>
      </c>
      <c r="N89" s="50">
        <f>IF(A89="","",IFERROR(VLOOKUP("Budget marketing annuel",'Hypothèses'!$A$5:$B$24,2,FALSE)/12,0))</f>
        <v/>
      </c>
      <c r="O89" s="50">
        <f>IF(A89="","",IFERROR(VLOOKUP("Autres charges mensuelles",'Hypothèses'!$A$5:$B$24,2,FALSE),0))</f>
        <v/>
      </c>
      <c r="P89" s="50">
        <f>IF(A89="","",IFERROR(I89-SUM(K89:O89),0))</f>
        <v/>
      </c>
      <c r="Q89" s="50">
        <f>IF(A89="","",IFERROR('Investissements'!$K$105/12,0))</f>
        <v/>
      </c>
      <c r="R89" s="50">
        <f>IF(A89="","",IFERROR(P89-Q89,0))</f>
        <v/>
      </c>
      <c r="S89" s="50">
        <f>IF(A89="","",'Hypothèses'!$B$21+SUM($P$5:P89)-SUMIFS('Investissements'!$I$5:$I$104,'Investissements'!$D$5:$D$104,"&lt;="&amp;(A89+32-DAY(A89+32))))</f>
        <v/>
      </c>
      <c r="T89" s="57">
        <f>IF(A89="","",IFERROR(P89/I89,0))</f>
        <v/>
      </c>
      <c r="U89" s="57">
        <f>IF(A89="","",IFERROR(VLOOKUP("Taux d'occupation cible année 1",'Hypothèses'!$A$5:$B$24,2,FALSE),0))</f>
        <v/>
      </c>
    </row>
    <row r="90">
      <c r="A90" s="47" t="n"/>
      <c r="B90" s="55" t="n"/>
      <c r="C90" s="58">
        <f>IF(A90="","",IFERROR((VLOOKUP("Nombre de terrains indoor",'Hypothèses'!$A$5:$B$24,2,FALSE)+VLOOKUP("Nombre de terrains outdoor",'Hypothèses'!$A$5:$B$24,2,FALSE))*VLOOKUP("Heures d'ouverture par terrain / mois",'Hypothèses'!$A$5:$B$24,2,FALSE),0))</f>
        <v/>
      </c>
      <c r="D90" s="58">
        <f>IF(A90="","",IFERROR(C90*B90,0))</f>
        <v/>
      </c>
      <c r="E90" s="52">
        <f>IF(A90="","",IFERROR(D90*VLOOKUP("Prix moyen réservation terrain",'Hypothèses'!$A$5:$B$24,2,FALSE),0))</f>
        <v/>
      </c>
      <c r="F90" s="52">
        <f>IF(A90="","",IFERROR(VLOOKUP("Nombre d'abonnés année 1",'Hypothèses'!$A$5:$B$24,2,FALSE)*VLOOKUP("Abonnement mensuel moyen",'Hypothèses'!$A$5:$B$24,2,FALSE),0))</f>
        <v/>
      </c>
      <c r="G90" s="52">
        <f>IF(A90="","",IFERROR(E90*VLOOKUP("Taux de CA coaching / stages",'Hypothèses'!$A$5:$B$24,2,FALSE),0))</f>
        <v/>
      </c>
      <c r="H90" s="52">
        <f>IF(A90="","",IFERROR(D90*VLOOKUP("Panier moyen bar / boutique",'Hypothèses'!$A$5:$B$24,2,FALSE),0))</f>
        <v/>
      </c>
      <c r="I90" s="52">
        <f>IF(A90="","",SUM(E90:H90))</f>
        <v/>
      </c>
      <c r="J90" s="52">
        <f>IF(A90="","",IFERROR(I90*VLOOKUP("Taux de TVA principal",'Hypothèses'!$A$5:$B$24,2,FALSE),0))</f>
        <v/>
      </c>
      <c r="K90" s="52">
        <f>IF(A90="","",IFERROR(I90*VLOOKUP("Taux de charges variables",'Hypothèses'!$A$5:$B$24,2,FALSE),0))</f>
        <v/>
      </c>
      <c r="L90" s="52">
        <f>IF(A90="","",IFERROR(VLOOKUP("Masse salariale annuelle",'Hypothèses'!$A$5:$B$24,2,FALSE)/12,0))</f>
        <v/>
      </c>
      <c r="M90" s="52">
        <f>IF(A90="","",IFERROR(VLOOKUP("Loyer annuel",'Hypothèses'!$A$5:$B$24,2,FALSE)/12,0))</f>
        <v/>
      </c>
      <c r="N90" s="52">
        <f>IF(A90="","",IFERROR(VLOOKUP("Budget marketing annuel",'Hypothèses'!$A$5:$B$24,2,FALSE)/12,0))</f>
        <v/>
      </c>
      <c r="O90" s="52">
        <f>IF(A90="","",IFERROR(VLOOKUP("Autres charges mensuelles",'Hypothèses'!$A$5:$B$24,2,FALSE),0))</f>
        <v/>
      </c>
      <c r="P90" s="52">
        <f>IF(A90="","",IFERROR(I90-SUM(K90:O90),0))</f>
        <v/>
      </c>
      <c r="Q90" s="52">
        <f>IF(A90="","",IFERROR('Investissements'!$K$105/12,0))</f>
        <v/>
      </c>
      <c r="R90" s="52">
        <f>IF(A90="","",IFERROR(P90-Q90,0))</f>
        <v/>
      </c>
      <c r="S90" s="52">
        <f>IF(A90="","",'Hypothèses'!$B$21+SUM($P$5:P90)-SUMIFS('Investissements'!$I$5:$I$104,'Investissements'!$D$5:$D$104,"&lt;="&amp;(A90+32-DAY(A90+32))))</f>
        <v/>
      </c>
      <c r="T90" s="59">
        <f>IF(A90="","",IFERROR(P90/I90,0))</f>
        <v/>
      </c>
      <c r="U90" s="59">
        <f>IF(A90="","",IFERROR(VLOOKUP("Taux d'occupation cible année 1",'Hypothèses'!$A$5:$B$24,2,FALSE),0))</f>
        <v/>
      </c>
    </row>
    <row r="91">
      <c r="A91" s="47" t="n"/>
      <c r="B91" s="55" t="n"/>
      <c r="C91" s="56">
        <f>IF(A91="","",IFERROR((VLOOKUP("Nombre de terrains indoor",'Hypothèses'!$A$5:$B$24,2,FALSE)+VLOOKUP("Nombre de terrains outdoor",'Hypothèses'!$A$5:$B$24,2,FALSE))*VLOOKUP("Heures d'ouverture par terrain / mois",'Hypothèses'!$A$5:$B$24,2,FALSE),0))</f>
        <v/>
      </c>
      <c r="D91" s="56">
        <f>IF(A91="","",IFERROR(C91*B91,0))</f>
        <v/>
      </c>
      <c r="E91" s="50">
        <f>IF(A91="","",IFERROR(D91*VLOOKUP("Prix moyen réservation terrain",'Hypothèses'!$A$5:$B$24,2,FALSE),0))</f>
        <v/>
      </c>
      <c r="F91" s="50">
        <f>IF(A91="","",IFERROR(VLOOKUP("Nombre d'abonnés année 1",'Hypothèses'!$A$5:$B$24,2,FALSE)*VLOOKUP("Abonnement mensuel moyen",'Hypothèses'!$A$5:$B$24,2,FALSE),0))</f>
        <v/>
      </c>
      <c r="G91" s="50">
        <f>IF(A91="","",IFERROR(E91*VLOOKUP("Taux de CA coaching / stages",'Hypothèses'!$A$5:$B$24,2,FALSE),0))</f>
        <v/>
      </c>
      <c r="H91" s="50">
        <f>IF(A91="","",IFERROR(D91*VLOOKUP("Panier moyen bar / boutique",'Hypothèses'!$A$5:$B$24,2,FALSE),0))</f>
        <v/>
      </c>
      <c r="I91" s="50">
        <f>IF(A91="","",SUM(E91:H91))</f>
        <v/>
      </c>
      <c r="J91" s="50">
        <f>IF(A91="","",IFERROR(I91*VLOOKUP("Taux de TVA principal",'Hypothèses'!$A$5:$B$24,2,FALSE),0))</f>
        <v/>
      </c>
      <c r="K91" s="50">
        <f>IF(A91="","",IFERROR(I91*VLOOKUP("Taux de charges variables",'Hypothèses'!$A$5:$B$24,2,FALSE),0))</f>
        <v/>
      </c>
      <c r="L91" s="50">
        <f>IF(A91="","",IFERROR(VLOOKUP("Masse salariale annuelle",'Hypothèses'!$A$5:$B$24,2,FALSE)/12,0))</f>
        <v/>
      </c>
      <c r="M91" s="50">
        <f>IF(A91="","",IFERROR(VLOOKUP("Loyer annuel",'Hypothèses'!$A$5:$B$24,2,FALSE)/12,0))</f>
        <v/>
      </c>
      <c r="N91" s="50">
        <f>IF(A91="","",IFERROR(VLOOKUP("Budget marketing annuel",'Hypothèses'!$A$5:$B$24,2,FALSE)/12,0))</f>
        <v/>
      </c>
      <c r="O91" s="50">
        <f>IF(A91="","",IFERROR(VLOOKUP("Autres charges mensuelles",'Hypothèses'!$A$5:$B$24,2,FALSE),0))</f>
        <v/>
      </c>
      <c r="P91" s="50">
        <f>IF(A91="","",IFERROR(I91-SUM(K91:O91),0))</f>
        <v/>
      </c>
      <c r="Q91" s="50">
        <f>IF(A91="","",IFERROR('Investissements'!$K$105/12,0))</f>
        <v/>
      </c>
      <c r="R91" s="50">
        <f>IF(A91="","",IFERROR(P91-Q91,0))</f>
        <v/>
      </c>
      <c r="S91" s="50">
        <f>IF(A91="","",'Hypothèses'!$B$21+SUM($P$5:P91)-SUMIFS('Investissements'!$I$5:$I$104,'Investissements'!$D$5:$D$104,"&lt;="&amp;(A91+32-DAY(A91+32))))</f>
        <v/>
      </c>
      <c r="T91" s="57">
        <f>IF(A91="","",IFERROR(P91/I91,0))</f>
        <v/>
      </c>
      <c r="U91" s="57">
        <f>IF(A91="","",IFERROR(VLOOKUP("Taux d'occupation cible année 1",'Hypothèses'!$A$5:$B$24,2,FALSE),0))</f>
        <v/>
      </c>
    </row>
    <row r="92">
      <c r="A92" s="47" t="n"/>
      <c r="B92" s="55" t="n"/>
      <c r="C92" s="58">
        <f>IF(A92="","",IFERROR((VLOOKUP("Nombre de terrains indoor",'Hypothèses'!$A$5:$B$24,2,FALSE)+VLOOKUP("Nombre de terrains outdoor",'Hypothèses'!$A$5:$B$24,2,FALSE))*VLOOKUP("Heures d'ouverture par terrain / mois",'Hypothèses'!$A$5:$B$24,2,FALSE),0))</f>
        <v/>
      </c>
      <c r="D92" s="58">
        <f>IF(A92="","",IFERROR(C92*B92,0))</f>
        <v/>
      </c>
      <c r="E92" s="52">
        <f>IF(A92="","",IFERROR(D92*VLOOKUP("Prix moyen réservation terrain",'Hypothèses'!$A$5:$B$24,2,FALSE),0))</f>
        <v/>
      </c>
      <c r="F92" s="52">
        <f>IF(A92="","",IFERROR(VLOOKUP("Nombre d'abonnés année 1",'Hypothèses'!$A$5:$B$24,2,FALSE)*VLOOKUP("Abonnement mensuel moyen",'Hypothèses'!$A$5:$B$24,2,FALSE),0))</f>
        <v/>
      </c>
      <c r="G92" s="52">
        <f>IF(A92="","",IFERROR(E92*VLOOKUP("Taux de CA coaching / stages",'Hypothèses'!$A$5:$B$24,2,FALSE),0))</f>
        <v/>
      </c>
      <c r="H92" s="52">
        <f>IF(A92="","",IFERROR(D92*VLOOKUP("Panier moyen bar / boutique",'Hypothèses'!$A$5:$B$24,2,FALSE),0))</f>
        <v/>
      </c>
      <c r="I92" s="52">
        <f>IF(A92="","",SUM(E92:H92))</f>
        <v/>
      </c>
      <c r="J92" s="52">
        <f>IF(A92="","",IFERROR(I92*VLOOKUP("Taux de TVA principal",'Hypothèses'!$A$5:$B$24,2,FALSE),0))</f>
        <v/>
      </c>
      <c r="K92" s="52">
        <f>IF(A92="","",IFERROR(I92*VLOOKUP("Taux de charges variables",'Hypothèses'!$A$5:$B$24,2,FALSE),0))</f>
        <v/>
      </c>
      <c r="L92" s="52">
        <f>IF(A92="","",IFERROR(VLOOKUP("Masse salariale annuelle",'Hypothèses'!$A$5:$B$24,2,FALSE)/12,0))</f>
        <v/>
      </c>
      <c r="M92" s="52">
        <f>IF(A92="","",IFERROR(VLOOKUP("Loyer annuel",'Hypothèses'!$A$5:$B$24,2,FALSE)/12,0))</f>
        <v/>
      </c>
      <c r="N92" s="52">
        <f>IF(A92="","",IFERROR(VLOOKUP("Budget marketing annuel",'Hypothèses'!$A$5:$B$24,2,FALSE)/12,0))</f>
        <v/>
      </c>
      <c r="O92" s="52">
        <f>IF(A92="","",IFERROR(VLOOKUP("Autres charges mensuelles",'Hypothèses'!$A$5:$B$24,2,FALSE),0))</f>
        <v/>
      </c>
      <c r="P92" s="52">
        <f>IF(A92="","",IFERROR(I92-SUM(K92:O92),0))</f>
        <v/>
      </c>
      <c r="Q92" s="52">
        <f>IF(A92="","",IFERROR('Investissements'!$K$105/12,0))</f>
        <v/>
      </c>
      <c r="R92" s="52">
        <f>IF(A92="","",IFERROR(P92-Q92,0))</f>
        <v/>
      </c>
      <c r="S92" s="52">
        <f>IF(A92="","",'Hypothèses'!$B$21+SUM($P$5:P92)-SUMIFS('Investissements'!$I$5:$I$104,'Investissements'!$D$5:$D$104,"&lt;="&amp;(A92+32-DAY(A92+32))))</f>
        <v/>
      </c>
      <c r="T92" s="59">
        <f>IF(A92="","",IFERROR(P92/I92,0))</f>
        <v/>
      </c>
      <c r="U92" s="59">
        <f>IF(A92="","",IFERROR(VLOOKUP("Taux d'occupation cible année 1",'Hypothèses'!$A$5:$B$24,2,FALSE),0))</f>
        <v/>
      </c>
    </row>
    <row r="93">
      <c r="A93" s="47" t="n"/>
      <c r="B93" s="55" t="n"/>
      <c r="C93" s="56">
        <f>IF(A93="","",IFERROR((VLOOKUP("Nombre de terrains indoor",'Hypothèses'!$A$5:$B$24,2,FALSE)+VLOOKUP("Nombre de terrains outdoor",'Hypothèses'!$A$5:$B$24,2,FALSE))*VLOOKUP("Heures d'ouverture par terrain / mois",'Hypothèses'!$A$5:$B$24,2,FALSE),0))</f>
        <v/>
      </c>
      <c r="D93" s="56">
        <f>IF(A93="","",IFERROR(C93*B93,0))</f>
        <v/>
      </c>
      <c r="E93" s="50">
        <f>IF(A93="","",IFERROR(D93*VLOOKUP("Prix moyen réservation terrain",'Hypothèses'!$A$5:$B$24,2,FALSE),0))</f>
        <v/>
      </c>
      <c r="F93" s="50">
        <f>IF(A93="","",IFERROR(VLOOKUP("Nombre d'abonnés année 1",'Hypothèses'!$A$5:$B$24,2,FALSE)*VLOOKUP("Abonnement mensuel moyen",'Hypothèses'!$A$5:$B$24,2,FALSE),0))</f>
        <v/>
      </c>
      <c r="G93" s="50">
        <f>IF(A93="","",IFERROR(E93*VLOOKUP("Taux de CA coaching / stages",'Hypothèses'!$A$5:$B$24,2,FALSE),0))</f>
        <v/>
      </c>
      <c r="H93" s="50">
        <f>IF(A93="","",IFERROR(D93*VLOOKUP("Panier moyen bar / boutique",'Hypothèses'!$A$5:$B$24,2,FALSE),0))</f>
        <v/>
      </c>
      <c r="I93" s="50">
        <f>IF(A93="","",SUM(E93:H93))</f>
        <v/>
      </c>
      <c r="J93" s="50">
        <f>IF(A93="","",IFERROR(I93*VLOOKUP("Taux de TVA principal",'Hypothèses'!$A$5:$B$24,2,FALSE),0))</f>
        <v/>
      </c>
      <c r="K93" s="50">
        <f>IF(A93="","",IFERROR(I93*VLOOKUP("Taux de charges variables",'Hypothèses'!$A$5:$B$24,2,FALSE),0))</f>
        <v/>
      </c>
      <c r="L93" s="50">
        <f>IF(A93="","",IFERROR(VLOOKUP("Masse salariale annuelle",'Hypothèses'!$A$5:$B$24,2,FALSE)/12,0))</f>
        <v/>
      </c>
      <c r="M93" s="50">
        <f>IF(A93="","",IFERROR(VLOOKUP("Loyer annuel",'Hypothèses'!$A$5:$B$24,2,FALSE)/12,0))</f>
        <v/>
      </c>
      <c r="N93" s="50">
        <f>IF(A93="","",IFERROR(VLOOKUP("Budget marketing annuel",'Hypothèses'!$A$5:$B$24,2,FALSE)/12,0))</f>
        <v/>
      </c>
      <c r="O93" s="50">
        <f>IF(A93="","",IFERROR(VLOOKUP("Autres charges mensuelles",'Hypothèses'!$A$5:$B$24,2,FALSE),0))</f>
        <v/>
      </c>
      <c r="P93" s="50">
        <f>IF(A93="","",IFERROR(I93-SUM(K93:O93),0))</f>
        <v/>
      </c>
      <c r="Q93" s="50">
        <f>IF(A93="","",IFERROR('Investissements'!$K$105/12,0))</f>
        <v/>
      </c>
      <c r="R93" s="50">
        <f>IF(A93="","",IFERROR(P93-Q93,0))</f>
        <v/>
      </c>
      <c r="S93" s="50">
        <f>IF(A93="","",'Hypothèses'!$B$21+SUM($P$5:P93)-SUMIFS('Investissements'!$I$5:$I$104,'Investissements'!$D$5:$D$104,"&lt;="&amp;(A93+32-DAY(A93+32))))</f>
        <v/>
      </c>
      <c r="T93" s="57">
        <f>IF(A93="","",IFERROR(P93/I93,0))</f>
        <v/>
      </c>
      <c r="U93" s="57">
        <f>IF(A93="","",IFERROR(VLOOKUP("Taux d'occupation cible année 1",'Hypothèses'!$A$5:$B$24,2,FALSE),0))</f>
        <v/>
      </c>
    </row>
    <row r="94">
      <c r="A94" s="47" t="n"/>
      <c r="B94" s="55" t="n"/>
      <c r="C94" s="58">
        <f>IF(A94="","",IFERROR((VLOOKUP("Nombre de terrains indoor",'Hypothèses'!$A$5:$B$24,2,FALSE)+VLOOKUP("Nombre de terrains outdoor",'Hypothèses'!$A$5:$B$24,2,FALSE))*VLOOKUP("Heures d'ouverture par terrain / mois",'Hypothèses'!$A$5:$B$24,2,FALSE),0))</f>
        <v/>
      </c>
      <c r="D94" s="58">
        <f>IF(A94="","",IFERROR(C94*B94,0))</f>
        <v/>
      </c>
      <c r="E94" s="52">
        <f>IF(A94="","",IFERROR(D94*VLOOKUP("Prix moyen réservation terrain",'Hypothèses'!$A$5:$B$24,2,FALSE),0))</f>
        <v/>
      </c>
      <c r="F94" s="52">
        <f>IF(A94="","",IFERROR(VLOOKUP("Nombre d'abonnés année 1",'Hypothèses'!$A$5:$B$24,2,FALSE)*VLOOKUP("Abonnement mensuel moyen",'Hypothèses'!$A$5:$B$24,2,FALSE),0))</f>
        <v/>
      </c>
      <c r="G94" s="52">
        <f>IF(A94="","",IFERROR(E94*VLOOKUP("Taux de CA coaching / stages",'Hypothèses'!$A$5:$B$24,2,FALSE),0))</f>
        <v/>
      </c>
      <c r="H94" s="52">
        <f>IF(A94="","",IFERROR(D94*VLOOKUP("Panier moyen bar / boutique",'Hypothèses'!$A$5:$B$24,2,FALSE),0))</f>
        <v/>
      </c>
      <c r="I94" s="52">
        <f>IF(A94="","",SUM(E94:H94))</f>
        <v/>
      </c>
      <c r="J94" s="52">
        <f>IF(A94="","",IFERROR(I94*VLOOKUP("Taux de TVA principal",'Hypothèses'!$A$5:$B$24,2,FALSE),0))</f>
        <v/>
      </c>
      <c r="K94" s="52">
        <f>IF(A94="","",IFERROR(I94*VLOOKUP("Taux de charges variables",'Hypothèses'!$A$5:$B$24,2,FALSE),0))</f>
        <v/>
      </c>
      <c r="L94" s="52">
        <f>IF(A94="","",IFERROR(VLOOKUP("Masse salariale annuelle",'Hypothèses'!$A$5:$B$24,2,FALSE)/12,0))</f>
        <v/>
      </c>
      <c r="M94" s="52">
        <f>IF(A94="","",IFERROR(VLOOKUP("Loyer annuel",'Hypothèses'!$A$5:$B$24,2,FALSE)/12,0))</f>
        <v/>
      </c>
      <c r="N94" s="52">
        <f>IF(A94="","",IFERROR(VLOOKUP("Budget marketing annuel",'Hypothèses'!$A$5:$B$24,2,FALSE)/12,0))</f>
        <v/>
      </c>
      <c r="O94" s="52">
        <f>IF(A94="","",IFERROR(VLOOKUP("Autres charges mensuelles",'Hypothèses'!$A$5:$B$24,2,FALSE),0))</f>
        <v/>
      </c>
      <c r="P94" s="52">
        <f>IF(A94="","",IFERROR(I94-SUM(K94:O94),0))</f>
        <v/>
      </c>
      <c r="Q94" s="52">
        <f>IF(A94="","",IFERROR('Investissements'!$K$105/12,0))</f>
        <v/>
      </c>
      <c r="R94" s="52">
        <f>IF(A94="","",IFERROR(P94-Q94,0))</f>
        <v/>
      </c>
      <c r="S94" s="52">
        <f>IF(A94="","",'Hypothèses'!$B$21+SUM($P$5:P94)-SUMIFS('Investissements'!$I$5:$I$104,'Investissements'!$D$5:$D$104,"&lt;="&amp;(A94+32-DAY(A94+32))))</f>
        <v/>
      </c>
      <c r="T94" s="59">
        <f>IF(A94="","",IFERROR(P94/I94,0))</f>
        <v/>
      </c>
      <c r="U94" s="59">
        <f>IF(A94="","",IFERROR(VLOOKUP("Taux d'occupation cible année 1",'Hypothèses'!$A$5:$B$24,2,FALSE),0))</f>
        <v/>
      </c>
    </row>
    <row r="95">
      <c r="A95" s="47" t="n"/>
      <c r="B95" s="55" t="n"/>
      <c r="C95" s="56">
        <f>IF(A95="","",IFERROR((VLOOKUP("Nombre de terrains indoor",'Hypothèses'!$A$5:$B$24,2,FALSE)+VLOOKUP("Nombre de terrains outdoor",'Hypothèses'!$A$5:$B$24,2,FALSE))*VLOOKUP("Heures d'ouverture par terrain / mois",'Hypothèses'!$A$5:$B$24,2,FALSE),0))</f>
        <v/>
      </c>
      <c r="D95" s="56">
        <f>IF(A95="","",IFERROR(C95*B95,0))</f>
        <v/>
      </c>
      <c r="E95" s="50">
        <f>IF(A95="","",IFERROR(D95*VLOOKUP("Prix moyen réservation terrain",'Hypothèses'!$A$5:$B$24,2,FALSE),0))</f>
        <v/>
      </c>
      <c r="F95" s="50">
        <f>IF(A95="","",IFERROR(VLOOKUP("Nombre d'abonnés année 1",'Hypothèses'!$A$5:$B$24,2,FALSE)*VLOOKUP("Abonnement mensuel moyen",'Hypothèses'!$A$5:$B$24,2,FALSE),0))</f>
        <v/>
      </c>
      <c r="G95" s="50">
        <f>IF(A95="","",IFERROR(E95*VLOOKUP("Taux de CA coaching / stages",'Hypothèses'!$A$5:$B$24,2,FALSE),0))</f>
        <v/>
      </c>
      <c r="H95" s="50">
        <f>IF(A95="","",IFERROR(D95*VLOOKUP("Panier moyen bar / boutique",'Hypothèses'!$A$5:$B$24,2,FALSE),0))</f>
        <v/>
      </c>
      <c r="I95" s="50">
        <f>IF(A95="","",SUM(E95:H95))</f>
        <v/>
      </c>
      <c r="J95" s="50">
        <f>IF(A95="","",IFERROR(I95*VLOOKUP("Taux de TVA principal",'Hypothèses'!$A$5:$B$24,2,FALSE),0))</f>
        <v/>
      </c>
      <c r="K95" s="50">
        <f>IF(A95="","",IFERROR(I95*VLOOKUP("Taux de charges variables",'Hypothèses'!$A$5:$B$24,2,FALSE),0))</f>
        <v/>
      </c>
      <c r="L95" s="50">
        <f>IF(A95="","",IFERROR(VLOOKUP("Masse salariale annuelle",'Hypothèses'!$A$5:$B$24,2,FALSE)/12,0))</f>
        <v/>
      </c>
      <c r="M95" s="50">
        <f>IF(A95="","",IFERROR(VLOOKUP("Loyer annuel",'Hypothèses'!$A$5:$B$24,2,FALSE)/12,0))</f>
        <v/>
      </c>
      <c r="N95" s="50">
        <f>IF(A95="","",IFERROR(VLOOKUP("Budget marketing annuel",'Hypothèses'!$A$5:$B$24,2,FALSE)/12,0))</f>
        <v/>
      </c>
      <c r="O95" s="50">
        <f>IF(A95="","",IFERROR(VLOOKUP("Autres charges mensuelles",'Hypothèses'!$A$5:$B$24,2,FALSE),0))</f>
        <v/>
      </c>
      <c r="P95" s="50">
        <f>IF(A95="","",IFERROR(I95-SUM(K95:O95),0))</f>
        <v/>
      </c>
      <c r="Q95" s="50">
        <f>IF(A95="","",IFERROR('Investissements'!$K$105/12,0))</f>
        <v/>
      </c>
      <c r="R95" s="50">
        <f>IF(A95="","",IFERROR(P95-Q95,0))</f>
        <v/>
      </c>
      <c r="S95" s="50">
        <f>IF(A95="","",'Hypothèses'!$B$21+SUM($P$5:P95)-SUMIFS('Investissements'!$I$5:$I$104,'Investissements'!$D$5:$D$104,"&lt;="&amp;(A95+32-DAY(A95+32))))</f>
        <v/>
      </c>
      <c r="T95" s="57">
        <f>IF(A95="","",IFERROR(P95/I95,0))</f>
        <v/>
      </c>
      <c r="U95" s="57">
        <f>IF(A95="","",IFERROR(VLOOKUP("Taux d'occupation cible année 1",'Hypothèses'!$A$5:$B$24,2,FALSE),0))</f>
        <v/>
      </c>
    </row>
    <row r="96">
      <c r="A96" s="47" t="n"/>
      <c r="B96" s="55" t="n"/>
      <c r="C96" s="58">
        <f>IF(A96="","",IFERROR((VLOOKUP("Nombre de terrains indoor",'Hypothèses'!$A$5:$B$24,2,FALSE)+VLOOKUP("Nombre de terrains outdoor",'Hypothèses'!$A$5:$B$24,2,FALSE))*VLOOKUP("Heures d'ouverture par terrain / mois",'Hypothèses'!$A$5:$B$24,2,FALSE),0))</f>
        <v/>
      </c>
      <c r="D96" s="58">
        <f>IF(A96="","",IFERROR(C96*B96,0))</f>
        <v/>
      </c>
      <c r="E96" s="52">
        <f>IF(A96="","",IFERROR(D96*VLOOKUP("Prix moyen réservation terrain",'Hypothèses'!$A$5:$B$24,2,FALSE),0))</f>
        <v/>
      </c>
      <c r="F96" s="52">
        <f>IF(A96="","",IFERROR(VLOOKUP("Nombre d'abonnés année 1",'Hypothèses'!$A$5:$B$24,2,FALSE)*VLOOKUP("Abonnement mensuel moyen",'Hypothèses'!$A$5:$B$24,2,FALSE),0))</f>
        <v/>
      </c>
      <c r="G96" s="52">
        <f>IF(A96="","",IFERROR(E96*VLOOKUP("Taux de CA coaching / stages",'Hypothèses'!$A$5:$B$24,2,FALSE),0))</f>
        <v/>
      </c>
      <c r="H96" s="52">
        <f>IF(A96="","",IFERROR(D96*VLOOKUP("Panier moyen bar / boutique",'Hypothèses'!$A$5:$B$24,2,FALSE),0))</f>
        <v/>
      </c>
      <c r="I96" s="52">
        <f>IF(A96="","",SUM(E96:H96))</f>
        <v/>
      </c>
      <c r="J96" s="52">
        <f>IF(A96="","",IFERROR(I96*VLOOKUP("Taux de TVA principal",'Hypothèses'!$A$5:$B$24,2,FALSE),0))</f>
        <v/>
      </c>
      <c r="K96" s="52">
        <f>IF(A96="","",IFERROR(I96*VLOOKUP("Taux de charges variables",'Hypothèses'!$A$5:$B$24,2,FALSE),0))</f>
        <v/>
      </c>
      <c r="L96" s="52">
        <f>IF(A96="","",IFERROR(VLOOKUP("Masse salariale annuelle",'Hypothèses'!$A$5:$B$24,2,FALSE)/12,0))</f>
        <v/>
      </c>
      <c r="M96" s="52">
        <f>IF(A96="","",IFERROR(VLOOKUP("Loyer annuel",'Hypothèses'!$A$5:$B$24,2,FALSE)/12,0))</f>
        <v/>
      </c>
      <c r="N96" s="52">
        <f>IF(A96="","",IFERROR(VLOOKUP("Budget marketing annuel",'Hypothèses'!$A$5:$B$24,2,FALSE)/12,0))</f>
        <v/>
      </c>
      <c r="O96" s="52">
        <f>IF(A96="","",IFERROR(VLOOKUP("Autres charges mensuelles",'Hypothèses'!$A$5:$B$24,2,FALSE),0))</f>
        <v/>
      </c>
      <c r="P96" s="52">
        <f>IF(A96="","",IFERROR(I96-SUM(K96:O96),0))</f>
        <v/>
      </c>
      <c r="Q96" s="52">
        <f>IF(A96="","",IFERROR('Investissements'!$K$105/12,0))</f>
        <v/>
      </c>
      <c r="R96" s="52">
        <f>IF(A96="","",IFERROR(P96-Q96,0))</f>
        <v/>
      </c>
      <c r="S96" s="52">
        <f>IF(A96="","",'Hypothèses'!$B$21+SUM($P$5:P96)-SUMIFS('Investissements'!$I$5:$I$104,'Investissements'!$D$5:$D$104,"&lt;="&amp;(A96+32-DAY(A96+32))))</f>
        <v/>
      </c>
      <c r="T96" s="59">
        <f>IF(A96="","",IFERROR(P96/I96,0))</f>
        <v/>
      </c>
      <c r="U96" s="59">
        <f>IF(A96="","",IFERROR(VLOOKUP("Taux d'occupation cible année 1",'Hypothèses'!$A$5:$B$24,2,FALSE),0))</f>
        <v/>
      </c>
    </row>
    <row r="97">
      <c r="A97" s="47" t="n"/>
      <c r="B97" s="55" t="n"/>
      <c r="C97" s="56">
        <f>IF(A97="","",IFERROR((VLOOKUP("Nombre de terrains indoor",'Hypothèses'!$A$5:$B$24,2,FALSE)+VLOOKUP("Nombre de terrains outdoor",'Hypothèses'!$A$5:$B$24,2,FALSE))*VLOOKUP("Heures d'ouverture par terrain / mois",'Hypothèses'!$A$5:$B$24,2,FALSE),0))</f>
        <v/>
      </c>
      <c r="D97" s="56">
        <f>IF(A97="","",IFERROR(C97*B97,0))</f>
        <v/>
      </c>
      <c r="E97" s="50">
        <f>IF(A97="","",IFERROR(D97*VLOOKUP("Prix moyen réservation terrain",'Hypothèses'!$A$5:$B$24,2,FALSE),0))</f>
        <v/>
      </c>
      <c r="F97" s="50">
        <f>IF(A97="","",IFERROR(VLOOKUP("Nombre d'abonnés année 1",'Hypothèses'!$A$5:$B$24,2,FALSE)*VLOOKUP("Abonnement mensuel moyen",'Hypothèses'!$A$5:$B$24,2,FALSE),0))</f>
        <v/>
      </c>
      <c r="G97" s="50">
        <f>IF(A97="","",IFERROR(E97*VLOOKUP("Taux de CA coaching / stages",'Hypothèses'!$A$5:$B$24,2,FALSE),0))</f>
        <v/>
      </c>
      <c r="H97" s="50">
        <f>IF(A97="","",IFERROR(D97*VLOOKUP("Panier moyen bar / boutique",'Hypothèses'!$A$5:$B$24,2,FALSE),0))</f>
        <v/>
      </c>
      <c r="I97" s="50">
        <f>IF(A97="","",SUM(E97:H97))</f>
        <v/>
      </c>
      <c r="J97" s="50">
        <f>IF(A97="","",IFERROR(I97*VLOOKUP("Taux de TVA principal",'Hypothèses'!$A$5:$B$24,2,FALSE),0))</f>
        <v/>
      </c>
      <c r="K97" s="50">
        <f>IF(A97="","",IFERROR(I97*VLOOKUP("Taux de charges variables",'Hypothèses'!$A$5:$B$24,2,FALSE),0))</f>
        <v/>
      </c>
      <c r="L97" s="50">
        <f>IF(A97="","",IFERROR(VLOOKUP("Masse salariale annuelle",'Hypothèses'!$A$5:$B$24,2,FALSE)/12,0))</f>
        <v/>
      </c>
      <c r="M97" s="50">
        <f>IF(A97="","",IFERROR(VLOOKUP("Loyer annuel",'Hypothèses'!$A$5:$B$24,2,FALSE)/12,0))</f>
        <v/>
      </c>
      <c r="N97" s="50">
        <f>IF(A97="","",IFERROR(VLOOKUP("Budget marketing annuel",'Hypothèses'!$A$5:$B$24,2,FALSE)/12,0))</f>
        <v/>
      </c>
      <c r="O97" s="50">
        <f>IF(A97="","",IFERROR(VLOOKUP("Autres charges mensuelles",'Hypothèses'!$A$5:$B$24,2,FALSE),0))</f>
        <v/>
      </c>
      <c r="P97" s="50">
        <f>IF(A97="","",IFERROR(I97-SUM(K97:O97),0))</f>
        <v/>
      </c>
      <c r="Q97" s="50">
        <f>IF(A97="","",IFERROR('Investissements'!$K$105/12,0))</f>
        <v/>
      </c>
      <c r="R97" s="50">
        <f>IF(A97="","",IFERROR(P97-Q97,0))</f>
        <v/>
      </c>
      <c r="S97" s="50">
        <f>IF(A97="","",'Hypothèses'!$B$21+SUM($P$5:P97)-SUMIFS('Investissements'!$I$5:$I$104,'Investissements'!$D$5:$D$104,"&lt;="&amp;(A97+32-DAY(A97+32))))</f>
        <v/>
      </c>
      <c r="T97" s="57">
        <f>IF(A97="","",IFERROR(P97/I97,0))</f>
        <v/>
      </c>
      <c r="U97" s="57">
        <f>IF(A97="","",IFERROR(VLOOKUP("Taux d'occupation cible année 1",'Hypothèses'!$A$5:$B$24,2,FALSE),0))</f>
        <v/>
      </c>
    </row>
    <row r="98">
      <c r="A98" s="47" t="n"/>
      <c r="B98" s="55" t="n"/>
      <c r="C98" s="58">
        <f>IF(A98="","",IFERROR((VLOOKUP("Nombre de terrains indoor",'Hypothèses'!$A$5:$B$24,2,FALSE)+VLOOKUP("Nombre de terrains outdoor",'Hypothèses'!$A$5:$B$24,2,FALSE))*VLOOKUP("Heures d'ouverture par terrain / mois",'Hypothèses'!$A$5:$B$24,2,FALSE),0))</f>
        <v/>
      </c>
      <c r="D98" s="58">
        <f>IF(A98="","",IFERROR(C98*B98,0))</f>
        <v/>
      </c>
      <c r="E98" s="52">
        <f>IF(A98="","",IFERROR(D98*VLOOKUP("Prix moyen réservation terrain",'Hypothèses'!$A$5:$B$24,2,FALSE),0))</f>
        <v/>
      </c>
      <c r="F98" s="52">
        <f>IF(A98="","",IFERROR(VLOOKUP("Nombre d'abonnés année 1",'Hypothèses'!$A$5:$B$24,2,FALSE)*VLOOKUP("Abonnement mensuel moyen",'Hypothèses'!$A$5:$B$24,2,FALSE),0))</f>
        <v/>
      </c>
      <c r="G98" s="52">
        <f>IF(A98="","",IFERROR(E98*VLOOKUP("Taux de CA coaching / stages",'Hypothèses'!$A$5:$B$24,2,FALSE),0))</f>
        <v/>
      </c>
      <c r="H98" s="52">
        <f>IF(A98="","",IFERROR(D98*VLOOKUP("Panier moyen bar / boutique",'Hypothèses'!$A$5:$B$24,2,FALSE),0))</f>
        <v/>
      </c>
      <c r="I98" s="52">
        <f>IF(A98="","",SUM(E98:H98))</f>
        <v/>
      </c>
      <c r="J98" s="52">
        <f>IF(A98="","",IFERROR(I98*VLOOKUP("Taux de TVA principal",'Hypothèses'!$A$5:$B$24,2,FALSE),0))</f>
        <v/>
      </c>
      <c r="K98" s="52">
        <f>IF(A98="","",IFERROR(I98*VLOOKUP("Taux de charges variables",'Hypothèses'!$A$5:$B$24,2,FALSE),0))</f>
        <v/>
      </c>
      <c r="L98" s="52">
        <f>IF(A98="","",IFERROR(VLOOKUP("Masse salariale annuelle",'Hypothèses'!$A$5:$B$24,2,FALSE)/12,0))</f>
        <v/>
      </c>
      <c r="M98" s="52">
        <f>IF(A98="","",IFERROR(VLOOKUP("Loyer annuel",'Hypothèses'!$A$5:$B$24,2,FALSE)/12,0))</f>
        <v/>
      </c>
      <c r="N98" s="52">
        <f>IF(A98="","",IFERROR(VLOOKUP("Budget marketing annuel",'Hypothèses'!$A$5:$B$24,2,FALSE)/12,0))</f>
        <v/>
      </c>
      <c r="O98" s="52">
        <f>IF(A98="","",IFERROR(VLOOKUP("Autres charges mensuelles",'Hypothèses'!$A$5:$B$24,2,FALSE),0))</f>
        <v/>
      </c>
      <c r="P98" s="52">
        <f>IF(A98="","",IFERROR(I98-SUM(K98:O98),0))</f>
        <v/>
      </c>
      <c r="Q98" s="52">
        <f>IF(A98="","",IFERROR('Investissements'!$K$105/12,0))</f>
        <v/>
      </c>
      <c r="R98" s="52">
        <f>IF(A98="","",IFERROR(P98-Q98,0))</f>
        <v/>
      </c>
      <c r="S98" s="52">
        <f>IF(A98="","",'Hypothèses'!$B$21+SUM($P$5:P98)-SUMIFS('Investissements'!$I$5:$I$104,'Investissements'!$D$5:$D$104,"&lt;="&amp;(A98+32-DAY(A98+32))))</f>
        <v/>
      </c>
      <c r="T98" s="59">
        <f>IF(A98="","",IFERROR(P98/I98,0))</f>
        <v/>
      </c>
      <c r="U98" s="59">
        <f>IF(A98="","",IFERROR(VLOOKUP("Taux d'occupation cible année 1",'Hypothèses'!$A$5:$B$24,2,FALSE),0))</f>
        <v/>
      </c>
    </row>
    <row r="99">
      <c r="A99" s="47" t="n"/>
      <c r="B99" s="55" t="n"/>
      <c r="C99" s="56">
        <f>IF(A99="","",IFERROR((VLOOKUP("Nombre de terrains indoor",'Hypothèses'!$A$5:$B$24,2,FALSE)+VLOOKUP("Nombre de terrains outdoor",'Hypothèses'!$A$5:$B$24,2,FALSE))*VLOOKUP("Heures d'ouverture par terrain / mois",'Hypothèses'!$A$5:$B$24,2,FALSE),0))</f>
        <v/>
      </c>
      <c r="D99" s="56">
        <f>IF(A99="","",IFERROR(C99*B99,0))</f>
        <v/>
      </c>
      <c r="E99" s="50">
        <f>IF(A99="","",IFERROR(D99*VLOOKUP("Prix moyen réservation terrain",'Hypothèses'!$A$5:$B$24,2,FALSE),0))</f>
        <v/>
      </c>
      <c r="F99" s="50">
        <f>IF(A99="","",IFERROR(VLOOKUP("Nombre d'abonnés année 1",'Hypothèses'!$A$5:$B$24,2,FALSE)*VLOOKUP("Abonnement mensuel moyen",'Hypothèses'!$A$5:$B$24,2,FALSE),0))</f>
        <v/>
      </c>
      <c r="G99" s="50">
        <f>IF(A99="","",IFERROR(E99*VLOOKUP("Taux de CA coaching / stages",'Hypothèses'!$A$5:$B$24,2,FALSE),0))</f>
        <v/>
      </c>
      <c r="H99" s="50">
        <f>IF(A99="","",IFERROR(D99*VLOOKUP("Panier moyen bar / boutique",'Hypothèses'!$A$5:$B$24,2,FALSE),0))</f>
        <v/>
      </c>
      <c r="I99" s="50">
        <f>IF(A99="","",SUM(E99:H99))</f>
        <v/>
      </c>
      <c r="J99" s="50">
        <f>IF(A99="","",IFERROR(I99*VLOOKUP("Taux de TVA principal",'Hypothèses'!$A$5:$B$24,2,FALSE),0))</f>
        <v/>
      </c>
      <c r="K99" s="50">
        <f>IF(A99="","",IFERROR(I99*VLOOKUP("Taux de charges variables",'Hypothèses'!$A$5:$B$24,2,FALSE),0))</f>
        <v/>
      </c>
      <c r="L99" s="50">
        <f>IF(A99="","",IFERROR(VLOOKUP("Masse salariale annuelle",'Hypothèses'!$A$5:$B$24,2,FALSE)/12,0))</f>
        <v/>
      </c>
      <c r="M99" s="50">
        <f>IF(A99="","",IFERROR(VLOOKUP("Loyer annuel",'Hypothèses'!$A$5:$B$24,2,FALSE)/12,0))</f>
        <v/>
      </c>
      <c r="N99" s="50">
        <f>IF(A99="","",IFERROR(VLOOKUP("Budget marketing annuel",'Hypothèses'!$A$5:$B$24,2,FALSE)/12,0))</f>
        <v/>
      </c>
      <c r="O99" s="50">
        <f>IF(A99="","",IFERROR(VLOOKUP("Autres charges mensuelles",'Hypothèses'!$A$5:$B$24,2,FALSE),0))</f>
        <v/>
      </c>
      <c r="P99" s="50">
        <f>IF(A99="","",IFERROR(I99-SUM(K99:O99),0))</f>
        <v/>
      </c>
      <c r="Q99" s="50">
        <f>IF(A99="","",IFERROR('Investissements'!$K$105/12,0))</f>
        <v/>
      </c>
      <c r="R99" s="50">
        <f>IF(A99="","",IFERROR(P99-Q99,0))</f>
        <v/>
      </c>
      <c r="S99" s="50">
        <f>IF(A99="","",'Hypothèses'!$B$21+SUM($P$5:P99)-SUMIFS('Investissements'!$I$5:$I$104,'Investissements'!$D$5:$D$104,"&lt;="&amp;(A99+32-DAY(A99+32))))</f>
        <v/>
      </c>
      <c r="T99" s="57">
        <f>IF(A99="","",IFERROR(P99/I99,0))</f>
        <v/>
      </c>
      <c r="U99" s="57">
        <f>IF(A99="","",IFERROR(VLOOKUP("Taux d'occupation cible année 1",'Hypothèses'!$A$5:$B$24,2,FALSE),0))</f>
        <v/>
      </c>
    </row>
    <row r="100">
      <c r="A100" s="47" t="n"/>
      <c r="B100" s="55" t="n"/>
      <c r="C100" s="58">
        <f>IF(A100="","",IFERROR((VLOOKUP("Nombre de terrains indoor",'Hypothèses'!$A$5:$B$24,2,FALSE)+VLOOKUP("Nombre de terrains outdoor",'Hypothèses'!$A$5:$B$24,2,FALSE))*VLOOKUP("Heures d'ouverture par terrain / mois",'Hypothèses'!$A$5:$B$24,2,FALSE),0))</f>
        <v/>
      </c>
      <c r="D100" s="58">
        <f>IF(A100="","",IFERROR(C100*B100,0))</f>
        <v/>
      </c>
      <c r="E100" s="52">
        <f>IF(A100="","",IFERROR(D100*VLOOKUP("Prix moyen réservation terrain",'Hypothèses'!$A$5:$B$24,2,FALSE),0))</f>
        <v/>
      </c>
      <c r="F100" s="52">
        <f>IF(A100="","",IFERROR(VLOOKUP("Nombre d'abonnés année 1",'Hypothèses'!$A$5:$B$24,2,FALSE)*VLOOKUP("Abonnement mensuel moyen",'Hypothèses'!$A$5:$B$24,2,FALSE),0))</f>
        <v/>
      </c>
      <c r="G100" s="52">
        <f>IF(A100="","",IFERROR(E100*VLOOKUP("Taux de CA coaching / stages",'Hypothèses'!$A$5:$B$24,2,FALSE),0))</f>
        <v/>
      </c>
      <c r="H100" s="52">
        <f>IF(A100="","",IFERROR(D100*VLOOKUP("Panier moyen bar / boutique",'Hypothèses'!$A$5:$B$24,2,FALSE),0))</f>
        <v/>
      </c>
      <c r="I100" s="52">
        <f>IF(A100="","",SUM(E100:H100))</f>
        <v/>
      </c>
      <c r="J100" s="52">
        <f>IF(A100="","",IFERROR(I100*VLOOKUP("Taux de TVA principal",'Hypothèses'!$A$5:$B$24,2,FALSE),0))</f>
        <v/>
      </c>
      <c r="K100" s="52">
        <f>IF(A100="","",IFERROR(I100*VLOOKUP("Taux de charges variables",'Hypothèses'!$A$5:$B$24,2,FALSE),0))</f>
        <v/>
      </c>
      <c r="L100" s="52">
        <f>IF(A100="","",IFERROR(VLOOKUP("Masse salariale annuelle",'Hypothèses'!$A$5:$B$24,2,FALSE)/12,0))</f>
        <v/>
      </c>
      <c r="M100" s="52">
        <f>IF(A100="","",IFERROR(VLOOKUP("Loyer annuel",'Hypothèses'!$A$5:$B$24,2,FALSE)/12,0))</f>
        <v/>
      </c>
      <c r="N100" s="52">
        <f>IF(A100="","",IFERROR(VLOOKUP("Budget marketing annuel",'Hypothèses'!$A$5:$B$24,2,FALSE)/12,0))</f>
        <v/>
      </c>
      <c r="O100" s="52">
        <f>IF(A100="","",IFERROR(VLOOKUP("Autres charges mensuelles",'Hypothèses'!$A$5:$B$24,2,FALSE),0))</f>
        <v/>
      </c>
      <c r="P100" s="52">
        <f>IF(A100="","",IFERROR(I100-SUM(K100:O100),0))</f>
        <v/>
      </c>
      <c r="Q100" s="52">
        <f>IF(A100="","",IFERROR('Investissements'!$K$105/12,0))</f>
        <v/>
      </c>
      <c r="R100" s="52">
        <f>IF(A100="","",IFERROR(P100-Q100,0))</f>
        <v/>
      </c>
      <c r="S100" s="52">
        <f>IF(A100="","",'Hypothèses'!$B$21+SUM($P$5:P100)-SUMIFS('Investissements'!$I$5:$I$104,'Investissements'!$D$5:$D$104,"&lt;="&amp;(A100+32-DAY(A100+32))))</f>
        <v/>
      </c>
      <c r="T100" s="59">
        <f>IF(A100="","",IFERROR(P100/I100,0))</f>
        <v/>
      </c>
      <c r="U100" s="59">
        <f>IF(A100="","",IFERROR(VLOOKUP("Taux d'occupation cible année 1",'Hypothèses'!$A$5:$B$24,2,FALSE),0))</f>
        <v/>
      </c>
    </row>
    <row r="101">
      <c r="A101" s="47" t="n"/>
      <c r="B101" s="55" t="n"/>
      <c r="C101" s="56">
        <f>IF(A101="","",IFERROR((VLOOKUP("Nombre de terrains indoor",'Hypothèses'!$A$5:$B$24,2,FALSE)+VLOOKUP("Nombre de terrains outdoor",'Hypothèses'!$A$5:$B$24,2,FALSE))*VLOOKUP("Heures d'ouverture par terrain / mois",'Hypothèses'!$A$5:$B$24,2,FALSE),0))</f>
        <v/>
      </c>
      <c r="D101" s="56">
        <f>IF(A101="","",IFERROR(C101*B101,0))</f>
        <v/>
      </c>
      <c r="E101" s="50">
        <f>IF(A101="","",IFERROR(D101*VLOOKUP("Prix moyen réservation terrain",'Hypothèses'!$A$5:$B$24,2,FALSE),0))</f>
        <v/>
      </c>
      <c r="F101" s="50">
        <f>IF(A101="","",IFERROR(VLOOKUP("Nombre d'abonnés année 1",'Hypothèses'!$A$5:$B$24,2,FALSE)*VLOOKUP("Abonnement mensuel moyen",'Hypothèses'!$A$5:$B$24,2,FALSE),0))</f>
        <v/>
      </c>
      <c r="G101" s="50">
        <f>IF(A101="","",IFERROR(E101*VLOOKUP("Taux de CA coaching / stages",'Hypothèses'!$A$5:$B$24,2,FALSE),0))</f>
        <v/>
      </c>
      <c r="H101" s="50">
        <f>IF(A101="","",IFERROR(D101*VLOOKUP("Panier moyen bar / boutique",'Hypothèses'!$A$5:$B$24,2,FALSE),0))</f>
        <v/>
      </c>
      <c r="I101" s="50">
        <f>IF(A101="","",SUM(E101:H101))</f>
        <v/>
      </c>
      <c r="J101" s="50">
        <f>IF(A101="","",IFERROR(I101*VLOOKUP("Taux de TVA principal",'Hypothèses'!$A$5:$B$24,2,FALSE),0))</f>
        <v/>
      </c>
      <c r="K101" s="50">
        <f>IF(A101="","",IFERROR(I101*VLOOKUP("Taux de charges variables",'Hypothèses'!$A$5:$B$24,2,FALSE),0))</f>
        <v/>
      </c>
      <c r="L101" s="50">
        <f>IF(A101="","",IFERROR(VLOOKUP("Masse salariale annuelle",'Hypothèses'!$A$5:$B$24,2,FALSE)/12,0))</f>
        <v/>
      </c>
      <c r="M101" s="50">
        <f>IF(A101="","",IFERROR(VLOOKUP("Loyer annuel",'Hypothèses'!$A$5:$B$24,2,FALSE)/12,0))</f>
        <v/>
      </c>
      <c r="N101" s="50">
        <f>IF(A101="","",IFERROR(VLOOKUP("Budget marketing annuel",'Hypothèses'!$A$5:$B$24,2,FALSE)/12,0))</f>
        <v/>
      </c>
      <c r="O101" s="50">
        <f>IF(A101="","",IFERROR(VLOOKUP("Autres charges mensuelles",'Hypothèses'!$A$5:$B$24,2,FALSE),0))</f>
        <v/>
      </c>
      <c r="P101" s="50">
        <f>IF(A101="","",IFERROR(I101-SUM(K101:O101),0))</f>
        <v/>
      </c>
      <c r="Q101" s="50">
        <f>IF(A101="","",IFERROR('Investissements'!$K$105/12,0))</f>
        <v/>
      </c>
      <c r="R101" s="50">
        <f>IF(A101="","",IFERROR(P101-Q101,0))</f>
        <v/>
      </c>
      <c r="S101" s="50">
        <f>IF(A101="","",'Hypothèses'!$B$21+SUM($P$5:P101)-SUMIFS('Investissements'!$I$5:$I$104,'Investissements'!$D$5:$D$104,"&lt;="&amp;(A101+32-DAY(A101+32))))</f>
        <v/>
      </c>
      <c r="T101" s="57">
        <f>IF(A101="","",IFERROR(P101/I101,0))</f>
        <v/>
      </c>
      <c r="U101" s="57">
        <f>IF(A101="","",IFERROR(VLOOKUP("Taux d'occupation cible année 1",'Hypothèses'!$A$5:$B$24,2,FALSE),0))</f>
        <v/>
      </c>
    </row>
    <row r="102">
      <c r="A102" s="47" t="n"/>
      <c r="B102" s="55" t="n"/>
      <c r="C102" s="58">
        <f>IF(A102="","",IFERROR((VLOOKUP("Nombre de terrains indoor",'Hypothèses'!$A$5:$B$24,2,FALSE)+VLOOKUP("Nombre de terrains outdoor",'Hypothèses'!$A$5:$B$24,2,FALSE))*VLOOKUP("Heures d'ouverture par terrain / mois",'Hypothèses'!$A$5:$B$24,2,FALSE),0))</f>
        <v/>
      </c>
      <c r="D102" s="58">
        <f>IF(A102="","",IFERROR(C102*B102,0))</f>
        <v/>
      </c>
      <c r="E102" s="52">
        <f>IF(A102="","",IFERROR(D102*VLOOKUP("Prix moyen réservation terrain",'Hypothèses'!$A$5:$B$24,2,FALSE),0))</f>
        <v/>
      </c>
      <c r="F102" s="52">
        <f>IF(A102="","",IFERROR(VLOOKUP("Nombre d'abonnés année 1",'Hypothèses'!$A$5:$B$24,2,FALSE)*VLOOKUP("Abonnement mensuel moyen",'Hypothèses'!$A$5:$B$24,2,FALSE),0))</f>
        <v/>
      </c>
      <c r="G102" s="52">
        <f>IF(A102="","",IFERROR(E102*VLOOKUP("Taux de CA coaching / stages",'Hypothèses'!$A$5:$B$24,2,FALSE),0))</f>
        <v/>
      </c>
      <c r="H102" s="52">
        <f>IF(A102="","",IFERROR(D102*VLOOKUP("Panier moyen bar / boutique",'Hypothèses'!$A$5:$B$24,2,FALSE),0))</f>
        <v/>
      </c>
      <c r="I102" s="52">
        <f>IF(A102="","",SUM(E102:H102))</f>
        <v/>
      </c>
      <c r="J102" s="52">
        <f>IF(A102="","",IFERROR(I102*VLOOKUP("Taux de TVA principal",'Hypothèses'!$A$5:$B$24,2,FALSE),0))</f>
        <v/>
      </c>
      <c r="K102" s="52">
        <f>IF(A102="","",IFERROR(I102*VLOOKUP("Taux de charges variables",'Hypothèses'!$A$5:$B$24,2,FALSE),0))</f>
        <v/>
      </c>
      <c r="L102" s="52">
        <f>IF(A102="","",IFERROR(VLOOKUP("Masse salariale annuelle",'Hypothèses'!$A$5:$B$24,2,FALSE)/12,0))</f>
        <v/>
      </c>
      <c r="M102" s="52">
        <f>IF(A102="","",IFERROR(VLOOKUP("Loyer annuel",'Hypothèses'!$A$5:$B$24,2,FALSE)/12,0))</f>
        <v/>
      </c>
      <c r="N102" s="52">
        <f>IF(A102="","",IFERROR(VLOOKUP("Budget marketing annuel",'Hypothèses'!$A$5:$B$24,2,FALSE)/12,0))</f>
        <v/>
      </c>
      <c r="O102" s="52">
        <f>IF(A102="","",IFERROR(VLOOKUP("Autres charges mensuelles",'Hypothèses'!$A$5:$B$24,2,FALSE),0))</f>
        <v/>
      </c>
      <c r="P102" s="52">
        <f>IF(A102="","",IFERROR(I102-SUM(K102:O102),0))</f>
        <v/>
      </c>
      <c r="Q102" s="52">
        <f>IF(A102="","",IFERROR('Investissements'!$K$105/12,0))</f>
        <v/>
      </c>
      <c r="R102" s="52">
        <f>IF(A102="","",IFERROR(P102-Q102,0))</f>
        <v/>
      </c>
      <c r="S102" s="52">
        <f>IF(A102="","",'Hypothèses'!$B$21+SUM($P$5:P102)-SUMIFS('Investissements'!$I$5:$I$104,'Investissements'!$D$5:$D$104,"&lt;="&amp;(A102+32-DAY(A102+32))))</f>
        <v/>
      </c>
      <c r="T102" s="59">
        <f>IF(A102="","",IFERROR(P102/I102,0))</f>
        <v/>
      </c>
      <c r="U102" s="59">
        <f>IF(A102="","",IFERROR(VLOOKUP("Taux d'occupation cible année 1",'Hypothèses'!$A$5:$B$24,2,FALSE),0))</f>
        <v/>
      </c>
    </row>
    <row r="103">
      <c r="A103" s="47" t="n"/>
      <c r="B103" s="55" t="n"/>
      <c r="C103" s="56">
        <f>IF(A103="","",IFERROR((VLOOKUP("Nombre de terrains indoor",'Hypothèses'!$A$5:$B$24,2,FALSE)+VLOOKUP("Nombre de terrains outdoor",'Hypothèses'!$A$5:$B$24,2,FALSE))*VLOOKUP("Heures d'ouverture par terrain / mois",'Hypothèses'!$A$5:$B$24,2,FALSE),0))</f>
        <v/>
      </c>
      <c r="D103" s="56">
        <f>IF(A103="","",IFERROR(C103*B103,0))</f>
        <v/>
      </c>
      <c r="E103" s="50">
        <f>IF(A103="","",IFERROR(D103*VLOOKUP("Prix moyen réservation terrain",'Hypothèses'!$A$5:$B$24,2,FALSE),0))</f>
        <v/>
      </c>
      <c r="F103" s="50">
        <f>IF(A103="","",IFERROR(VLOOKUP("Nombre d'abonnés année 1",'Hypothèses'!$A$5:$B$24,2,FALSE)*VLOOKUP("Abonnement mensuel moyen",'Hypothèses'!$A$5:$B$24,2,FALSE),0))</f>
        <v/>
      </c>
      <c r="G103" s="50">
        <f>IF(A103="","",IFERROR(E103*VLOOKUP("Taux de CA coaching / stages",'Hypothèses'!$A$5:$B$24,2,FALSE),0))</f>
        <v/>
      </c>
      <c r="H103" s="50">
        <f>IF(A103="","",IFERROR(D103*VLOOKUP("Panier moyen bar / boutique",'Hypothèses'!$A$5:$B$24,2,FALSE),0))</f>
        <v/>
      </c>
      <c r="I103" s="50">
        <f>IF(A103="","",SUM(E103:H103))</f>
        <v/>
      </c>
      <c r="J103" s="50">
        <f>IF(A103="","",IFERROR(I103*VLOOKUP("Taux de TVA principal",'Hypothèses'!$A$5:$B$24,2,FALSE),0))</f>
        <v/>
      </c>
      <c r="K103" s="50">
        <f>IF(A103="","",IFERROR(I103*VLOOKUP("Taux de charges variables",'Hypothèses'!$A$5:$B$24,2,FALSE),0))</f>
        <v/>
      </c>
      <c r="L103" s="50">
        <f>IF(A103="","",IFERROR(VLOOKUP("Masse salariale annuelle",'Hypothèses'!$A$5:$B$24,2,FALSE)/12,0))</f>
        <v/>
      </c>
      <c r="M103" s="50">
        <f>IF(A103="","",IFERROR(VLOOKUP("Loyer annuel",'Hypothèses'!$A$5:$B$24,2,FALSE)/12,0))</f>
        <v/>
      </c>
      <c r="N103" s="50">
        <f>IF(A103="","",IFERROR(VLOOKUP("Budget marketing annuel",'Hypothèses'!$A$5:$B$24,2,FALSE)/12,0))</f>
        <v/>
      </c>
      <c r="O103" s="50">
        <f>IF(A103="","",IFERROR(VLOOKUP("Autres charges mensuelles",'Hypothèses'!$A$5:$B$24,2,FALSE),0))</f>
        <v/>
      </c>
      <c r="P103" s="50">
        <f>IF(A103="","",IFERROR(I103-SUM(K103:O103),0))</f>
        <v/>
      </c>
      <c r="Q103" s="50">
        <f>IF(A103="","",IFERROR('Investissements'!$K$105/12,0))</f>
        <v/>
      </c>
      <c r="R103" s="50">
        <f>IF(A103="","",IFERROR(P103-Q103,0))</f>
        <v/>
      </c>
      <c r="S103" s="50">
        <f>IF(A103="","",'Hypothèses'!$B$21+SUM($P$5:P103)-SUMIFS('Investissements'!$I$5:$I$104,'Investissements'!$D$5:$D$104,"&lt;="&amp;(A103+32-DAY(A103+32))))</f>
        <v/>
      </c>
      <c r="T103" s="57">
        <f>IF(A103="","",IFERROR(P103/I103,0))</f>
        <v/>
      </c>
      <c r="U103" s="57">
        <f>IF(A103="","",IFERROR(VLOOKUP("Taux d'occupation cible année 1",'Hypothèses'!$A$5:$B$24,2,FALSE),0))</f>
        <v/>
      </c>
    </row>
    <row r="104">
      <c r="A104" s="47" t="n"/>
      <c r="B104" s="55" t="n"/>
      <c r="C104" s="58">
        <f>IF(A104="","",IFERROR((VLOOKUP("Nombre de terrains indoor",'Hypothèses'!$A$5:$B$24,2,FALSE)+VLOOKUP("Nombre de terrains outdoor",'Hypothèses'!$A$5:$B$24,2,FALSE))*VLOOKUP("Heures d'ouverture par terrain / mois",'Hypothèses'!$A$5:$B$24,2,FALSE),0))</f>
        <v/>
      </c>
      <c r="D104" s="58">
        <f>IF(A104="","",IFERROR(C104*B104,0))</f>
        <v/>
      </c>
      <c r="E104" s="52">
        <f>IF(A104="","",IFERROR(D104*VLOOKUP("Prix moyen réservation terrain",'Hypothèses'!$A$5:$B$24,2,FALSE),0))</f>
        <v/>
      </c>
      <c r="F104" s="52">
        <f>IF(A104="","",IFERROR(VLOOKUP("Nombre d'abonnés année 1",'Hypothèses'!$A$5:$B$24,2,FALSE)*VLOOKUP("Abonnement mensuel moyen",'Hypothèses'!$A$5:$B$24,2,FALSE),0))</f>
        <v/>
      </c>
      <c r="G104" s="52">
        <f>IF(A104="","",IFERROR(E104*VLOOKUP("Taux de CA coaching / stages",'Hypothèses'!$A$5:$B$24,2,FALSE),0))</f>
        <v/>
      </c>
      <c r="H104" s="52">
        <f>IF(A104="","",IFERROR(D104*VLOOKUP("Panier moyen bar / boutique",'Hypothèses'!$A$5:$B$24,2,FALSE),0))</f>
        <v/>
      </c>
      <c r="I104" s="52">
        <f>IF(A104="","",SUM(E104:H104))</f>
        <v/>
      </c>
      <c r="J104" s="52">
        <f>IF(A104="","",IFERROR(I104*VLOOKUP("Taux de TVA principal",'Hypothèses'!$A$5:$B$24,2,FALSE),0))</f>
        <v/>
      </c>
      <c r="K104" s="52">
        <f>IF(A104="","",IFERROR(I104*VLOOKUP("Taux de charges variables",'Hypothèses'!$A$5:$B$24,2,FALSE),0))</f>
        <v/>
      </c>
      <c r="L104" s="52">
        <f>IF(A104="","",IFERROR(VLOOKUP("Masse salariale annuelle",'Hypothèses'!$A$5:$B$24,2,FALSE)/12,0))</f>
        <v/>
      </c>
      <c r="M104" s="52">
        <f>IF(A104="","",IFERROR(VLOOKUP("Loyer annuel",'Hypothèses'!$A$5:$B$24,2,FALSE)/12,0))</f>
        <v/>
      </c>
      <c r="N104" s="52">
        <f>IF(A104="","",IFERROR(VLOOKUP("Budget marketing annuel",'Hypothèses'!$A$5:$B$24,2,FALSE)/12,0))</f>
        <v/>
      </c>
      <c r="O104" s="52">
        <f>IF(A104="","",IFERROR(VLOOKUP("Autres charges mensuelles",'Hypothèses'!$A$5:$B$24,2,FALSE),0))</f>
        <v/>
      </c>
      <c r="P104" s="52">
        <f>IF(A104="","",IFERROR(I104-SUM(K104:O104),0))</f>
        <v/>
      </c>
      <c r="Q104" s="52">
        <f>IF(A104="","",IFERROR('Investissements'!$K$105/12,0))</f>
        <v/>
      </c>
      <c r="R104" s="52">
        <f>IF(A104="","",IFERROR(P104-Q104,0))</f>
        <v/>
      </c>
      <c r="S104" s="52">
        <f>IF(A104="","",'Hypothèses'!$B$21+SUM($P$5:P104)-SUMIFS('Investissements'!$I$5:$I$104,'Investissements'!$D$5:$D$104,"&lt;="&amp;(A104+32-DAY(A104+32))))</f>
        <v/>
      </c>
      <c r="T104" s="59">
        <f>IF(A104="","",IFERROR(P104/I104,0))</f>
        <v/>
      </c>
      <c r="U104" s="59">
        <f>IF(A104="","",IFERROR(VLOOKUP("Taux d'occupation cible année 1",'Hypothèses'!$A$5:$B$24,2,FALSE),0))</f>
        <v/>
      </c>
    </row>
    <row r="105"/>
    <row r="106"/>
    <row r="107"/>
    <row r="108">
      <c r="A108" s="19" t="inlineStr">
        <is>
          <t>Synthèse annuelle 2026-2028</t>
        </is>
      </c>
    </row>
    <row r="109">
      <c r="A109" s="3" t="inlineStr">
        <is>
          <t>Année</t>
        </is>
      </c>
      <c r="B109" s="3" t="inlineStr">
        <is>
          <t>Chiffre d'affaires HT</t>
        </is>
      </c>
      <c r="C109" s="3" t="inlineStr">
        <is>
          <t>EBITDA</t>
        </is>
      </c>
      <c r="D109" s="3" t="inlineStr">
        <is>
          <t>Marge EBITDA</t>
        </is>
      </c>
      <c r="E109" s="3" t="inlineStr">
        <is>
          <t>Résultat d'exploitation</t>
        </is>
      </c>
      <c r="F109" s="3" t="inlineStr">
        <is>
          <t>Trésorerie finale</t>
        </is>
      </c>
      <c r="G109" s="3" t="inlineStr">
        <is>
          <t>Début période</t>
        </is>
      </c>
      <c r="H109" s="3" t="inlineStr">
        <is>
          <t>Fin période</t>
        </is>
      </c>
    </row>
    <row r="110">
      <c r="A110" s="29" t="n">
        <v>2026</v>
      </c>
      <c r="B110" s="50">
        <f>SUMIFS($I$5:$I$104,$A$5:$A$104,"&gt;="&amp;$G110,$A$5:$A$104,"&lt;="&amp;$H110)</f>
        <v/>
      </c>
      <c r="C110" s="50">
        <f>SUMIFS($P$5:$P$104,$A$5:$A$104,"&gt;="&amp;$G110,$A$5:$A$104,"&lt;="&amp;$H110)</f>
        <v/>
      </c>
      <c r="D110" s="49">
        <f>IFERROR(C110/B110,0)</f>
        <v/>
      </c>
      <c r="E110" s="50">
        <f>SUMIFS($R$5:$R$104,$A$5:$A$104,"&gt;="&amp;$G110,$A$5:$A$104,"&lt;="&amp;$H110)</f>
        <v/>
      </c>
      <c r="F110" s="50">
        <f>IFERROR($S$14,0)</f>
        <v/>
      </c>
      <c r="G110" s="60" t="n">
        <v>46023</v>
      </c>
      <c r="H110" s="60" t="n">
        <v>46387</v>
      </c>
    </row>
    <row r="111">
      <c r="A111" s="31" t="n">
        <v>2027</v>
      </c>
      <c r="B111" s="52">
        <f>IF(COUNTIFS($A$5:$A$104,"&gt;="&amp;$G111,$A$5:$A$104,"&lt;="&amp;$H111)&gt;0,SUMIFS($I$5:$I$104,$A$5:$A$104,"&gt;="&amp;$G111,$A$5:$A$104,"&lt;="&amp;$H111),B110*(1+IFERROR(VLOOKUP("Croissance annuelle du chiffre d'affaires",'Hypothèses'!$A$5:$B$24,2,FALSE),0)))</f>
        <v/>
      </c>
      <c r="C111" s="52">
        <f>IF(COUNTIFS($A$5:$A$104,"&gt;="&amp;$G111,$A$5:$A$104,"&lt;="&amp;$H111)&gt;0,SUMIFS($P$5:$P$104,$A$5:$A$104,"&gt;="&amp;$G111,$A$5:$A$104,"&lt;="&amp;$H111),B111-(B111*IFERROR(VLOOKUP("Taux de charges variables",'Hypothèses'!$A$5:$B$24,2,FALSE),0)+'Hypothèses'!$B$18+'Hypothèses'!$B$19+'Hypothèses'!$B$20+'Hypothèses'!$B$24*12))</f>
        <v/>
      </c>
      <c r="D111" s="51">
        <f>IFERROR(C111/B111,0)</f>
        <v/>
      </c>
      <c r="E111" s="52">
        <f>IF(COUNTIFS($A$5:$A$104,"&gt;="&amp;$G111,$A$5:$A$104,"&lt;="&amp;$H111)&gt;0,SUMIFS($R$5:$R$104,$A$5:$A$104,"&gt;="&amp;$G111,$A$5:$A$104,"&lt;="&amp;$H111),C111-'Investissements'!$K$105)</f>
        <v/>
      </c>
      <c r="F111" s="52">
        <f>IFERROR(F110+C111,0)</f>
        <v/>
      </c>
      <c r="G111" s="61" t="n">
        <v>46388</v>
      </c>
      <c r="H111" s="61" t="n">
        <v>46752</v>
      </c>
    </row>
    <row r="112">
      <c r="A112" s="29" t="n">
        <v>2028</v>
      </c>
      <c r="B112" s="50">
        <f>IF(COUNTIFS($A$5:$A$104,"&gt;="&amp;$G112,$A$5:$A$104,"&lt;="&amp;$H112)&gt;0,SUMIFS($I$5:$I$104,$A$5:$A$104,"&gt;="&amp;$G112,$A$5:$A$104,"&lt;="&amp;$H112),B111*(1+IFERROR(VLOOKUP("Croissance annuelle du chiffre d'affaires",'Hypothèses'!$A$5:$B$24,2,FALSE),0)))</f>
        <v/>
      </c>
      <c r="C112" s="50">
        <f>IF(COUNTIFS($A$5:$A$104,"&gt;="&amp;$G112,$A$5:$A$104,"&lt;="&amp;$H112)&gt;0,SUMIFS($P$5:$P$104,$A$5:$A$104,"&gt;="&amp;$G112,$A$5:$A$104,"&lt;="&amp;$H112),B112-(B112*IFERROR(VLOOKUP("Taux de charges variables",'Hypothèses'!$A$5:$B$24,2,FALSE),0)+'Hypothèses'!$B$18+'Hypothèses'!$B$19+'Hypothèses'!$B$20+'Hypothèses'!$B$24*12))</f>
        <v/>
      </c>
      <c r="D112" s="49">
        <f>IFERROR(C112/B112,0)</f>
        <v/>
      </c>
      <c r="E112" s="50">
        <f>IF(COUNTIFS($A$5:$A$104,"&gt;="&amp;$G112,$A$5:$A$104,"&lt;="&amp;$H112)&gt;0,SUMIFS($R$5:$R$104,$A$5:$A$104,"&gt;="&amp;$G112,$A$5:$A$104,"&lt;="&amp;$H112),C112-'Investissements'!$K$105)</f>
        <v/>
      </c>
      <c r="F112" s="50">
        <f>IFERROR(F111+C112,0)</f>
        <v/>
      </c>
      <c r="G112" s="60" t="n">
        <v>46753</v>
      </c>
      <c r="H112" s="60" t="n">
        <v>47118</v>
      </c>
    </row>
  </sheetData>
  <autoFilter ref="A4:U104"/>
  <mergeCells count="1">
    <mergeCell ref="A1:U1"/>
  </mergeCells>
  <conditionalFormatting sqref="P5:P104">
    <cfRule type="expression" priority="1" dxfId="1">
      <formula>P5&gt;0</formula>
    </cfRule>
    <cfRule type="expression" priority="2" dxfId="0">
      <formula>P5&lt;0</formula>
    </cfRule>
  </conditionalFormatting>
  <conditionalFormatting sqref="S5:S104">
    <cfRule type="expression" priority="3" dxfId="0">
      <formula>S5&lt;0</formula>
    </cfRule>
  </conditionalFormatting>
  <dataValidations count="2">
    <dataValidation sqref="A5:A104" showErrorMessage="1" showInputMessage="1" allowBlank="0" type="date" operator="greaterThan">
      <formula1>1</formula1>
    </dataValidation>
    <dataValidation sqref="B5:B104" showErrorMessage="1" showInputMessage="1" allowBlank="0" type="decimal" operator="between">
      <formula1>0</formula1>
      <formula2>1</formula2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E17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9" customWidth="1" min="1" max="1"/>
    <col width="20" customWidth="1" min="2" max="2"/>
    <col width="3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  <col width="11" customWidth="1" min="18" max="18"/>
    <col width="11" customWidth="1" min="19" max="19"/>
    <col width="11" customWidth="1" min="20" max="20"/>
    <col width="11" customWidth="1" min="21" max="21"/>
    <col width="11" customWidth="1" min="22" max="22"/>
    <col width="11" customWidth="1" min="23" max="23"/>
    <col width="11" customWidth="1" min="24" max="24"/>
    <col width="11" customWidth="1" min="25" max="25"/>
    <col hidden="1" width="13" customWidth="1" min="27" max="27"/>
    <col hidden="1" width="13" customWidth="1" min="28" max="28"/>
    <col hidden="1" width="13" customWidth="1" min="29" max="29"/>
    <col hidden="1" width="13" customWidth="1" min="30" max="30"/>
    <col hidden="1" width="13" customWidth="1" min="31" max="31"/>
  </cols>
  <sheetData>
    <row r="1" ht="30" customHeight="1">
      <c r="A1" s="1" t="inlineStr">
        <is>
          <t>Tableau de bord — Business Plan Padel</t>
        </is>
      </c>
    </row>
    <row r="2"/>
    <row r="3">
      <c r="A3" s="33" t="inlineStr">
        <is>
          <t>Indicateur</t>
        </is>
      </c>
      <c r="B3" s="33" t="inlineStr">
        <is>
          <t>Valeur</t>
        </is>
      </c>
      <c r="AA3" t="inlineStr">
        <is>
          <t>Catégorie</t>
        </is>
      </c>
      <c r="AB3" t="inlineStr">
        <is>
          <t>Investissement TTC</t>
        </is>
      </c>
      <c r="AD3" t="inlineStr">
        <is>
          <t>Activité</t>
        </is>
      </c>
      <c r="AE3" t="inlineStr">
        <is>
          <t>CA 2026</t>
        </is>
      </c>
    </row>
    <row r="4">
      <c r="A4" s="34" t="inlineStr">
        <is>
          <t>Investissement initial TTC</t>
        </is>
      </c>
      <c r="B4" s="62">
        <f>'Investissements'!$I$105</f>
        <v/>
      </c>
      <c r="AA4" t="inlineStr">
        <is>
          <t>Travaux</t>
        </is>
      </c>
      <c r="AB4" s="63">
        <f>SUMIF('Investissements'!$A$5:$A$104,AA4,'Investissements'!$I$5:$I$104)</f>
        <v/>
      </c>
      <c r="AD4" t="inlineStr">
        <is>
          <t>Réservations terrains</t>
        </is>
      </c>
      <c r="AE4" s="63">
        <f>SUM('Prévisionnel'!$E$5:$E$104)</f>
        <v/>
      </c>
    </row>
    <row r="5">
      <c r="A5" s="37" t="inlineStr">
        <is>
          <t>Chiffre d'affaires 2026</t>
        </is>
      </c>
      <c r="B5" s="52">
        <f>'Prévisionnel'!$B$110</f>
        <v/>
      </c>
      <c r="AA5" t="inlineStr">
        <is>
          <t>Terrains</t>
        </is>
      </c>
      <c r="AB5" s="63">
        <f>SUMIF('Investissements'!$A$5:$A$104,AA5,'Investissements'!$I$5:$I$104)</f>
        <v/>
      </c>
      <c r="AD5" t="inlineStr">
        <is>
          <t>Abonnements</t>
        </is>
      </c>
      <c r="AE5" s="63">
        <f>SUM('Prévisionnel'!$F$5:$F$104)</f>
        <v/>
      </c>
    </row>
    <row r="6">
      <c r="A6" s="34" t="inlineStr">
        <is>
          <t>EBITDA 2026</t>
        </is>
      </c>
      <c r="B6" s="62">
        <f>'Prévisionnel'!$C$110</f>
        <v/>
      </c>
      <c r="AA6" t="inlineStr">
        <is>
          <t>Équipements</t>
        </is>
      </c>
      <c r="AB6" s="63">
        <f>SUMIF('Investissements'!$A$5:$A$104,AA6,'Investissements'!$I$5:$I$104)</f>
        <v/>
      </c>
      <c r="AD6" t="inlineStr">
        <is>
          <t>Coaching / stages</t>
        </is>
      </c>
      <c r="AE6" s="63">
        <f>SUM('Prévisionnel'!$G$5:$G$104)</f>
        <v/>
      </c>
    </row>
    <row r="7">
      <c r="A7" s="37" t="inlineStr">
        <is>
          <t>Marge EBITDA</t>
        </is>
      </c>
      <c r="B7" s="59">
        <f>'Prévisionnel'!$D$110</f>
        <v/>
      </c>
      <c r="AA7" t="inlineStr">
        <is>
          <t>Informatique</t>
        </is>
      </c>
      <c r="AB7" s="63">
        <f>SUMIF('Investissements'!$A$5:$A$104,AA7,'Investissements'!$I$5:$I$104)</f>
        <v/>
      </c>
      <c r="AD7" t="inlineStr">
        <is>
          <t>Bar / boutique</t>
        </is>
      </c>
      <c r="AE7" s="63">
        <f>SUM('Prévisionnel'!$H$5:$H$104)</f>
        <v/>
      </c>
    </row>
    <row r="8">
      <c r="A8" s="34" t="inlineStr">
        <is>
          <t>Point mort mensuel</t>
        </is>
      </c>
      <c r="B8" s="62">
        <f>IFERROR((('Hypothèses'!$B$18+'Hypothèses'!$B$19+'Hypothèses'!$B$20)/12+'Hypothèses'!$B$24)/(1-'Hypothèses'!$B$17),0)</f>
        <v/>
      </c>
      <c r="AA8" t="inlineStr">
        <is>
          <t>Mobilier</t>
        </is>
      </c>
      <c r="AB8" s="63">
        <f>SUMIF('Investissements'!$A$5:$A$104,AA8,'Investissements'!$I$5:$I$104)</f>
        <v/>
      </c>
    </row>
    <row r="9">
      <c r="A9" s="37" t="inlineStr">
        <is>
          <t>Taux d'occupation moyen</t>
        </is>
      </c>
      <c r="B9" s="59">
        <f>IFERROR(AVERAGE('Prévisionnel'!$B$5:$B$104),0)</f>
        <v/>
      </c>
      <c r="AA9" t="inlineStr">
        <is>
          <t>Marketing</t>
        </is>
      </c>
      <c r="AB9" s="63">
        <f>SUMIF('Investissements'!$A$5:$A$104,AA9,'Investissements'!$I$5:$I$104)</f>
        <v/>
      </c>
    </row>
    <row r="10">
      <c r="A10" s="34" t="inlineStr">
        <is>
          <t>Trésorerie finale 2026</t>
        </is>
      </c>
      <c r="B10" s="62">
        <f>'Prévisionnel'!$F$110</f>
        <v/>
      </c>
      <c r="AA10" t="inlineStr">
        <is>
          <t>Sécurité</t>
        </is>
      </c>
      <c r="AB10" s="63">
        <f>SUMIF('Investissements'!$A$5:$A$104,AA10,'Investissements'!$I$5:$I$104)</f>
        <v/>
      </c>
    </row>
    <row r="11">
      <c r="A11" s="37" t="inlineStr">
        <is>
          <t>Nombre de mois avec EBITDA positif</t>
        </is>
      </c>
      <c r="B11" s="64">
        <f>COUNTIF('Prévisionnel'!$P$5:$P$104,"&gt;0")</f>
        <v/>
      </c>
    </row>
    <row r="12">
      <c r="A12" s="34" t="inlineStr">
        <is>
          <t>Besoin de financement complémentaire</t>
        </is>
      </c>
      <c r="B12" s="62">
        <f>MAX(0,'Investissements'!$I$105-'Hypothèses'!$B$21)</f>
        <v/>
      </c>
    </row>
    <row r="13">
      <c r="A13" s="37" t="inlineStr">
        <is>
          <t>Retour sur investissement estimé</t>
        </is>
      </c>
      <c r="B13" s="59">
        <f>IFERROR('Prévisionnel'!$C$110/'Investissements'!$I$105,0)</f>
        <v/>
      </c>
    </row>
    <row r="14"/>
    <row r="15"/>
    <row r="16">
      <c r="A16" s="39" t="inlineStr">
        <is>
          <t>Lecture des indicateurs</t>
        </is>
      </c>
      <c r="B16" s="40" t="n"/>
    </row>
    <row r="17" ht="44" customHeight="1">
      <c r="A17" s="41" t="inlineStr">
        <is>
          <t>Les montants, la marge et la trésorerie sont actualisés automatiquement après modification des hypothèses, investissements ou taux d'occupation.</t>
        </is>
      </c>
      <c r="B17" s="42" t="n"/>
    </row>
  </sheetData>
  <mergeCells count="1">
    <mergeCell ref="A1:Y1"/>
  </mergeCells>
  <conditionalFormatting sqref="B6:B8">
    <cfRule type="expression" priority="1" dxfId="1">
      <formula>B6&gt;0</formula>
    </cfRule>
    <cfRule type="expression" priority="2" dxfId="0">
      <formula>B6&lt;0</formula>
    </cfRule>
  </conditionalFormatting>
  <conditionalFormatting sqref="B10:B11">
    <cfRule type="expression" priority="3" dxfId="1">
      <formula>B10&gt;0</formula>
    </cfRule>
    <cfRule type="expression" priority="4" dxfId="0">
      <formula>B10&lt;0</formula>
    </cfRule>
  </conditionalFormatting>
  <conditionalFormatting sqref="B13">
    <cfRule type="expression" priority="5" dxfId="0">
      <formula>B13&gt;0</formula>
    </cfRule>
    <cfRule type="expression" priority="6" dxfId="1">
      <formula>B13=0</formula>
    </cfRule>
  </conditionalFormatting>
  <conditionalFormatting sqref="B14">
    <cfRule type="expression" priority="7" dxfId="1">
      <formula>B14&gt;0</formula>
    </cfRule>
    <cfRule type="expression" priority="8" dxfId="0">
      <formula>B14&lt;0</formula>
    </cfRule>
  </conditionalFormatting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2026-10-02T18:31:13Z</dcterms:created>
  <dcterms:modified xmlns:dcterms="http://purl.org/dc/terms/" xmlns:xsi="http://www.w3.org/2001/XMLSchema-instance" xsi:type="dcterms:W3CDTF">2026-10-02T18:31:13Z</dcterms:modified>
</cp:coreProperties>
</file>