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amètres" sheetId="1" state="visible" r:id="rId1"/>
    <sheet xmlns:r="http://schemas.openxmlformats.org/officeDocument/2006/relationships" name="Écritures" sheetId="2" state="visible" r:id="rId2"/>
    <sheet xmlns:r="http://schemas.openxmlformats.org/officeDocument/2006/relationships" name="Budget" sheetId="3" state="visible" r:id="rId3"/>
    <sheet xmlns:r="http://schemas.openxmlformats.org/officeDocument/2006/relationships" name="Tableau de bord" sheetId="4" state="visible" r:id="rId4"/>
  </sheets>
  <definedNames>
    <definedName name="_xlnm._FilterDatabase" localSheetId="0" hidden="1">'Paramètres'!$A$3:$B$14</definedName>
    <definedName name="_xlnm._FilterDatabase" localSheetId="1" hidden="1">'Écritures'!$A$2:$P$12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.00 &quot;€&quot;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  <sz val="11"/>
    </font>
    <font>
      <b val="1"/>
      <color rgb="001E293B"/>
      <sz val="12"/>
    </font>
    <font>
      <b val="1"/>
      <color rgb="00C8102E"/>
      <sz val="12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0" fillId="3" borderId="1" pivotButton="0" quotePrefix="0" xfId="0"/>
    <xf numFmtId="0" fontId="0" fillId="0" borderId="1" pivotButton="0" quotePrefix="0" xfId="0"/>
    <xf numFmtId="0" fontId="2" fillId="2" borderId="1" applyAlignment="1" pivotButton="0" quotePrefix="0" xfId="0">
      <alignment horizontal="center" vertical="center"/>
    </xf>
    <xf numFmtId="164" fontId="0" fillId="4" borderId="1" pivotButton="0" quotePrefix="0" xfId="0"/>
    <xf numFmtId="0" fontId="0" fillId="4" borderId="1" pivotButton="0" quotePrefix="0" xfId="0"/>
    <xf numFmtId="165" fontId="0" fillId="4" borderId="1" pivotButton="0" quotePrefix="0" xfId="0"/>
    <xf numFmtId="166" fontId="0" fillId="4" borderId="1" pivotButton="0" quotePrefix="0" xfId="0"/>
    <xf numFmtId="165" fontId="0" fillId="3" borderId="1" pivotButton="0" quotePrefix="0" xfId="0"/>
    <xf numFmtId="165" fontId="0" fillId="0" borderId="1" pivotButton="0" quotePrefix="0" xfId="0"/>
    <xf numFmtId="0" fontId="0" fillId="5" borderId="1" pivotButton="0" quotePrefix="0" xfId="0"/>
    <xf numFmtId="0" fontId="3" fillId="5" borderId="1" pivotButton="0" quotePrefix="0" xfId="0"/>
    <xf numFmtId="165" fontId="3" fillId="5" borderId="1" pivotButton="0" quotePrefix="0" xfId="0"/>
    <xf numFmtId="166" fontId="0" fillId="3" borderId="1" pivotButton="0" quotePrefix="0" xfId="0"/>
    <xf numFmtId="166" fontId="0" fillId="0" borderId="1" pivotButton="0" quotePrefix="0" xfId="0"/>
    <xf numFmtId="166" fontId="3" fillId="5" borderId="1" pivotButton="0" quotePrefix="0" xfId="0"/>
    <xf numFmtId="0" fontId="3" fillId="3" borderId="1" pivotButton="0" quotePrefix="0" xfId="0"/>
    <xf numFmtId="165" fontId="4" fillId="0" borderId="1" pivotButton="0" quotePrefix="0" xfId="0"/>
    <xf numFmtId="1" fontId="4" fillId="0" borderId="1" pivotButton="0" quotePrefix="0" xfId="0"/>
    <xf numFmtId="166" fontId="4" fillId="0" borderId="1" pivotButton="0" quotePrefix="0" xfId="0"/>
    <xf numFmtId="0" fontId="5" fillId="0" borderId="0" pivotButton="0" quotePrefix="0" xfId="0"/>
    <xf numFmtId="164" fontId="0" fillId="4" borderId="1" pivotButton="0" quotePrefix="0" xfId="0"/>
    <xf numFmtId="165" fontId="0" fillId="4" borderId="1" pivotButton="0" quotePrefix="0" xfId="0"/>
    <xf numFmtId="165" fontId="0" fillId="3" borderId="1" pivotButton="0" quotePrefix="0" xfId="0"/>
    <xf numFmtId="165" fontId="0" fillId="0" borderId="1" pivotButton="0" quotePrefix="0" xfId="0"/>
    <xf numFmtId="165" fontId="3" fillId="5" borderId="1" pivotButton="0" quotePrefix="0" xfId="0"/>
    <xf numFmtId="165" fontId="4" fillId="0" borderId="1" pivotButton="0" quotePrefix="0" xfId="0"/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Recettes et dépenses par mois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'Tableau de bord'!$A$13:$A$24</f>
            </numRef>
          </cat>
          <val>
            <numRef>
              <f>'Tableau de bord'!$B$13:$B$24</f>
            </numRef>
          </val>
        </ser>
        <ser>
          <idx val="1"/>
          <order val="1"/>
          <tx>
            <strRef>
              <f>'Tableau de bord'!C12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'Tableau de bord'!$A$13:$A$24</f>
            </numRef>
          </cat>
          <val>
            <numRef>
              <f>'Tableau de bord'!$C$13:$C$24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# ##0 &quot;€&quot;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dépenses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bord'!G12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bord'!$F$13:$F$20</f>
            </numRef>
          </cat>
          <val>
            <numRef>
              <f>'Tableau de bord'!$G$13:$G$20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consommé par catégorie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 de bord'!J12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'Tableau de bord'!$I$13:$I$20</f>
            </numRef>
          </cat>
          <val>
            <numRef>
              <f>'Tableau de bord'!$J$13:$J$20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26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26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43</row>
      <rowOff>0</rowOff>
    </from>
    <ext cx="39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3" customWidth="1" min="3" max="3"/>
    <col width="12" customWidth="1" min="4" max="4"/>
    <col width="12" customWidth="1" min="5" max="5"/>
    <col width="18" customWidth="1" min="6" max="6"/>
    <col width="12" customWidth="1" min="7" max="7"/>
    <col width="3" customWidth="1" min="8" max="8"/>
    <col width="20" customWidth="1" min="9" max="9"/>
    <col width="14" customWidth="1" min="10" max="10"/>
  </cols>
  <sheetData>
    <row r="1">
      <c r="A1" s="1" t="inlineStr">
        <is>
          <t>Paramètres et tables de référence</t>
        </is>
      </c>
    </row>
    <row r="2"/>
    <row r="3">
      <c r="A3" s="2" t="inlineStr">
        <is>
          <t>Catégorie</t>
        </is>
      </c>
      <c r="B3" s="2" t="inlineStr">
        <is>
          <t>Compte comptable</t>
        </is>
      </c>
      <c r="D3" s="2" t="inlineStr">
        <is>
          <t>Types</t>
        </is>
      </c>
      <c r="E3" s="2" t="inlineStr">
        <is>
          <t>Statuts</t>
        </is>
      </c>
      <c r="F3" s="2" t="inlineStr">
        <is>
          <t>Modes de paiement</t>
        </is>
      </c>
      <c r="G3" s="2" t="inlineStr">
        <is>
          <t>Taux de TVA</t>
        </is>
      </c>
      <c r="I3" s="2" t="inlineStr">
        <is>
          <t>Tiers d'exemple</t>
        </is>
      </c>
      <c r="J3" s="2" t="inlineStr">
        <is>
          <t>Villes</t>
        </is>
      </c>
    </row>
    <row r="4">
      <c r="A4" s="3" t="inlineStr">
        <is>
          <t>Cotisations</t>
        </is>
      </c>
      <c r="B4" s="3" t="inlineStr">
        <is>
          <t>756</t>
        </is>
      </c>
      <c r="D4" s="3" t="inlineStr">
        <is>
          <t>Recette</t>
        </is>
      </c>
      <c r="E4" s="3" t="inlineStr">
        <is>
          <t>Payé</t>
        </is>
      </c>
      <c r="F4" s="3" t="inlineStr">
        <is>
          <t>Virement</t>
        </is>
      </c>
      <c r="G4" s="3" t="inlineStr">
        <is>
          <t>0%</t>
        </is>
      </c>
      <c r="I4" s="3" t="inlineStr">
        <is>
          <t>Camille Dupont</t>
        </is>
      </c>
      <c r="J4" s="3" t="inlineStr">
        <is>
          <t>Paris</t>
        </is>
      </c>
    </row>
    <row r="5">
      <c r="A5" s="4" t="inlineStr">
        <is>
          <t>Dons</t>
        </is>
      </c>
      <c r="B5" s="4" t="inlineStr">
        <is>
          <t>7571</t>
        </is>
      </c>
      <c r="D5" s="4" t="inlineStr">
        <is>
          <t>Dépense</t>
        </is>
      </c>
      <c r="E5" s="4" t="inlineStr">
        <is>
          <t>En attente</t>
        </is>
      </c>
      <c r="F5" s="4" t="inlineStr">
        <is>
          <t>Carte bancaire</t>
        </is>
      </c>
      <c r="G5" s="4" t="inlineStr">
        <is>
          <t>5,5%</t>
        </is>
      </c>
      <c r="I5" s="4" t="inlineStr">
        <is>
          <t>Mairie de Lyon</t>
        </is>
      </c>
      <c r="J5" s="4" t="inlineStr">
        <is>
          <t>Lyon</t>
        </is>
      </c>
    </row>
    <row r="6">
      <c r="A6" s="3" t="inlineStr">
        <is>
          <t>Subventions</t>
        </is>
      </c>
      <c r="B6" s="3" t="inlineStr">
        <is>
          <t>740</t>
        </is>
      </c>
      <c r="E6" s="3" t="inlineStr">
        <is>
          <t>À vérifier</t>
        </is>
      </c>
      <c r="F6" s="3" t="inlineStr">
        <is>
          <t>Chèque</t>
        </is>
      </c>
      <c r="G6" s="3" t="inlineStr">
        <is>
          <t>10%</t>
        </is>
      </c>
      <c r="I6" s="3" t="inlineStr">
        <is>
          <t>Fournitures Pro</t>
        </is>
      </c>
      <c r="J6" s="3" t="inlineStr">
        <is>
          <t>Marseille</t>
        </is>
      </c>
    </row>
    <row r="7">
      <c r="A7" s="4" t="inlineStr">
        <is>
          <t>Billetterie</t>
        </is>
      </c>
      <c r="B7" s="4" t="inlineStr">
        <is>
          <t>758</t>
        </is>
      </c>
      <c r="F7" s="4" t="inlineStr">
        <is>
          <t>Espèces</t>
        </is>
      </c>
      <c r="G7" s="4" t="inlineStr">
        <is>
          <t>20%</t>
        </is>
      </c>
      <c r="I7" s="4" t="inlineStr">
        <is>
          <t>Espace Toulousain</t>
        </is>
      </c>
      <c r="J7" s="4" t="inlineStr">
        <is>
          <t>Toulouse</t>
        </is>
      </c>
    </row>
    <row r="8">
      <c r="A8" s="3" t="inlineStr">
        <is>
          <t>Fournitures</t>
        </is>
      </c>
      <c r="B8" s="3" t="inlineStr">
        <is>
          <t>6063</t>
        </is>
      </c>
      <c r="F8" s="3" t="inlineStr">
        <is>
          <t>Prélèvement</t>
        </is>
      </c>
      <c r="I8" s="3" t="inlineStr">
        <is>
          <t>Spectateurs</t>
        </is>
      </c>
      <c r="J8" s="3" t="inlineStr">
        <is>
          <t>Bordeaux</t>
        </is>
      </c>
    </row>
    <row r="9">
      <c r="A9" s="4" t="inlineStr">
        <is>
          <t>Loyers</t>
        </is>
      </c>
      <c r="B9" s="4" t="inlineStr">
        <is>
          <t>615</t>
        </is>
      </c>
      <c r="I9" s="4" t="inlineStr">
        <is>
          <t>Julien Martin</t>
        </is>
      </c>
      <c r="J9" s="4" t="inlineStr">
        <is>
          <t>Nantes</t>
        </is>
      </c>
    </row>
    <row r="10">
      <c r="A10" s="3" t="inlineStr">
        <is>
          <t>Communication</t>
        </is>
      </c>
      <c r="B10" s="3" t="inlineStr">
        <is>
          <t>623</t>
        </is>
      </c>
      <c r="I10" s="3" t="inlineStr">
        <is>
          <t>SoftCloud SAS</t>
        </is>
      </c>
      <c r="J10" s="3" t="inlineStr">
        <is>
          <t>Lille</t>
        </is>
      </c>
    </row>
    <row r="11">
      <c r="A11" s="4" t="inlineStr">
        <is>
          <t>Frais bancaires</t>
        </is>
      </c>
      <c r="B11" s="4" t="inlineStr">
        <is>
          <t>627</t>
        </is>
      </c>
      <c r="I11" s="4" t="inlineStr">
        <is>
          <t>Léa Bernard</t>
        </is>
      </c>
      <c r="J11" s="4" t="inlineStr">
        <is>
          <t>Rennes</t>
        </is>
      </c>
    </row>
    <row r="12">
      <c r="A12" s="3" t="inlineStr">
        <is>
          <t>Événements</t>
        </is>
      </c>
      <c r="B12" s="3" t="inlineStr">
        <is>
          <t>60221</t>
        </is>
      </c>
      <c r="I12" s="3" t="inlineStr">
        <is>
          <t>Chloé Petit</t>
        </is>
      </c>
      <c r="J12" s="3" t="inlineStr">
        <is>
          <t>Montpellier</t>
        </is>
      </c>
    </row>
    <row r="13">
      <c r="A13" s="4" t="inlineStr">
        <is>
          <t>Salaires</t>
        </is>
      </c>
      <c r="B13" s="4" t="inlineStr">
        <is>
          <t>641</t>
        </is>
      </c>
      <c r="I13" s="4" t="inlineStr">
        <is>
          <t>Banque Régionale</t>
        </is>
      </c>
      <c r="J13" s="4" t="inlineStr">
        <is>
          <t>Strasbourg</t>
        </is>
      </c>
    </row>
    <row r="14">
      <c r="A14" s="3" t="inlineStr">
        <is>
          <t>Déplacements</t>
        </is>
      </c>
      <c r="B14" s="3" t="inlineStr">
        <is>
          <t>6251</t>
        </is>
      </c>
    </row>
  </sheetData>
  <autoFilter ref="A3:B14"/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1" customWidth="1" min="3" max="3"/>
    <col width="16" customWidth="1" min="4" max="4"/>
    <col width="38" customWidth="1" min="5" max="5"/>
    <col width="18" customWidth="1" min="6" max="6"/>
    <col width="12" customWidth="1" min="7" max="7"/>
    <col width="17" customWidth="1" min="8" max="8"/>
    <col width="15" customWidth="1" min="9" max="9"/>
    <col width="13" customWidth="1" min="10" max="10"/>
    <col width="8" customWidth="1" min="11" max="11"/>
    <col width="12" customWidth="1" min="12" max="12"/>
    <col width="13" customWidth="1" min="13" max="13"/>
    <col width="12" customWidth="1" min="14" max="14"/>
    <col width="11" customWidth="1" min="15" max="15"/>
    <col width="11" customWidth="1" min="16" max="16"/>
  </cols>
  <sheetData>
    <row r="1">
      <c r="A1" s="1" t="inlineStr">
        <is>
          <t>Journal des écritures comptables — 2026</t>
        </is>
      </c>
    </row>
    <row r="2">
      <c r="A2" s="5" t="inlineStr">
        <is>
          <t>Date</t>
        </is>
      </c>
      <c r="B2" s="5" t="inlineStr">
        <is>
          <t>N° pièce</t>
        </is>
      </c>
      <c r="C2" s="5" t="inlineStr">
        <is>
          <t>Type</t>
        </is>
      </c>
      <c r="D2" s="5" t="inlineStr">
        <is>
          <t>Catégorie</t>
        </is>
      </c>
      <c r="E2" s="5" t="inlineStr">
        <is>
          <t>Libellé</t>
        </is>
      </c>
      <c r="F2" s="5" t="inlineStr">
        <is>
          <t>Tiers</t>
        </is>
      </c>
      <c r="G2" s="5" t="inlineStr">
        <is>
          <t>Ville</t>
        </is>
      </c>
      <c r="H2" s="5" t="inlineStr">
        <is>
          <t>Compte comptable</t>
        </is>
      </c>
      <c r="I2" s="5" t="inlineStr">
        <is>
          <t>Mode de paiement</t>
        </is>
      </c>
      <c r="J2" s="5" t="inlineStr">
        <is>
          <t>Montant HT</t>
        </is>
      </c>
      <c r="K2" s="5" t="inlineStr">
        <is>
          <t>TVA</t>
        </is>
      </c>
      <c r="L2" s="5" t="inlineStr">
        <is>
          <t>Montant TVA</t>
        </is>
      </c>
      <c r="M2" s="5" t="inlineStr">
        <is>
          <t>Montant TTC</t>
        </is>
      </c>
      <c r="N2" s="5" t="inlineStr">
        <is>
          <t>Statut</t>
        </is>
      </c>
      <c r="O2" s="5" t="inlineStr">
        <is>
          <t>Mois</t>
        </is>
      </c>
      <c r="P2" s="5" t="inlineStr">
        <is>
          <t>Contrôle</t>
        </is>
      </c>
    </row>
    <row r="3">
      <c r="A3" s="23" t="n">
        <v>46027</v>
      </c>
      <c r="B3" s="7" t="inlineStr">
        <is>
          <t>PI-001</t>
        </is>
      </c>
      <c r="C3" s="7" t="inlineStr">
        <is>
          <t>Recette</t>
        </is>
      </c>
      <c r="D3" s="7" t="inlineStr">
        <is>
          <t>Cotisations</t>
        </is>
      </c>
      <c r="E3" s="7" t="inlineStr">
        <is>
          <t>Cotisation annuelle 2026</t>
        </is>
      </c>
      <c r="F3" s="7" t="inlineStr">
        <is>
          <t>Camille Dupont</t>
        </is>
      </c>
      <c r="G3" s="7" t="inlineStr">
        <is>
          <t>Paris</t>
        </is>
      </c>
      <c r="H3" s="3">
        <f>IFERROR(VLOOKUP(D3,'Paramètres'!$A$4:$B$14,2,FALSE),"Compte à définir")</f>
        <v/>
      </c>
      <c r="I3" s="7" t="inlineStr">
        <is>
          <t>Chèque</t>
        </is>
      </c>
      <c r="J3" s="24" t="n">
        <v>50</v>
      </c>
      <c r="K3" s="9" t="n">
        <v>0</v>
      </c>
      <c r="L3" s="25">
        <f>J3*K3</f>
        <v/>
      </c>
      <c r="M3" s="25">
        <f>J3+L3</f>
        <v/>
      </c>
      <c r="N3" s="7" t="inlineStr">
        <is>
          <t>Payé</t>
        </is>
      </c>
      <c r="O3" s="3">
        <f>TEXT(A3,"mmmm")</f>
        <v/>
      </c>
      <c r="P3" s="3">
        <f>IF(OR(A3="",C3="",J3&lt;=0),"À vérifier","OK")</f>
        <v/>
      </c>
    </row>
    <row r="4">
      <c r="A4" s="23" t="n">
        <v>46034</v>
      </c>
      <c r="B4" s="7" t="inlineStr">
        <is>
          <t>PI-002</t>
        </is>
      </c>
      <c r="C4" s="7" t="inlineStr">
        <is>
          <t>Recette</t>
        </is>
      </c>
      <c r="D4" s="7" t="inlineStr">
        <is>
          <t>Subventions</t>
        </is>
      </c>
      <c r="E4" s="7" t="inlineStr">
        <is>
          <t>Subvention municipale jeunesse et sports</t>
        </is>
      </c>
      <c r="F4" s="7" t="inlineStr">
        <is>
          <t>Mairie de Lyon</t>
        </is>
      </c>
      <c r="G4" s="7" t="inlineStr">
        <is>
          <t>Lyon</t>
        </is>
      </c>
      <c r="H4" s="4">
        <f>IFERROR(VLOOKUP(D4,'Paramètres'!$A$4:$B$14,2,FALSE),"Compte à définir")</f>
        <v/>
      </c>
      <c r="I4" s="7" t="inlineStr">
        <is>
          <t>Virement</t>
        </is>
      </c>
      <c r="J4" s="24" t="n">
        <v>2500</v>
      </c>
      <c r="K4" s="9" t="n">
        <v>0</v>
      </c>
      <c r="L4" s="26">
        <f>J4*K4</f>
        <v/>
      </c>
      <c r="M4" s="26">
        <f>J4+L4</f>
        <v/>
      </c>
      <c r="N4" s="7" t="inlineStr">
        <is>
          <t>Payé</t>
        </is>
      </c>
      <c r="O4" s="4">
        <f>TEXT(A4,"mmmm")</f>
        <v/>
      </c>
      <c r="P4" s="4">
        <f>IF(OR(A4="",C4="",J4&lt;=0),"À vérifier","OK")</f>
        <v/>
      </c>
    </row>
    <row r="5">
      <c r="A5" s="23" t="n">
        <v>46042</v>
      </c>
      <c r="B5" s="7" t="inlineStr">
        <is>
          <t>PI-003</t>
        </is>
      </c>
      <c r="C5" s="7" t="inlineStr">
        <is>
          <t>Dépense</t>
        </is>
      </c>
      <c r="D5" s="7" t="inlineStr">
        <is>
          <t>Fournitures</t>
        </is>
      </c>
      <c r="E5" s="7" t="inlineStr">
        <is>
          <t>Achat fournitures de bureau</t>
        </is>
      </c>
      <c r="F5" s="7" t="inlineStr">
        <is>
          <t>Fournitures Pro</t>
        </is>
      </c>
      <c r="G5" s="7" t="inlineStr">
        <is>
          <t>Marseille</t>
        </is>
      </c>
      <c r="H5" s="3">
        <f>IFERROR(VLOOKUP(D5,'Paramètres'!$A$4:$B$14,2,FALSE),"Compte à définir")</f>
        <v/>
      </c>
      <c r="I5" s="7" t="inlineStr">
        <is>
          <t>Carte bancaire</t>
        </is>
      </c>
      <c r="J5" s="24" t="n">
        <v>155</v>
      </c>
      <c r="K5" s="9" t="n">
        <v>0.2</v>
      </c>
      <c r="L5" s="25">
        <f>J5*K5</f>
        <v/>
      </c>
      <c r="M5" s="25">
        <f>J5+L5</f>
        <v/>
      </c>
      <c r="N5" s="7" t="inlineStr">
        <is>
          <t>Payé</t>
        </is>
      </c>
      <c r="O5" s="3">
        <f>TEXT(A5,"mmmm")</f>
        <v/>
      </c>
      <c r="P5" s="3">
        <f>IF(OR(A5="",C5="",J5&lt;=0),"À vérifier","OK")</f>
        <v/>
      </c>
    </row>
    <row r="6">
      <c r="A6" s="23" t="n">
        <v>46050</v>
      </c>
      <c r="B6" s="7" t="inlineStr">
        <is>
          <t>PI-004</t>
        </is>
      </c>
      <c r="C6" s="7" t="inlineStr">
        <is>
          <t>Dépense</t>
        </is>
      </c>
      <c r="D6" s="7" t="inlineStr">
        <is>
          <t>Loyers</t>
        </is>
      </c>
      <c r="E6" s="7" t="inlineStr">
        <is>
          <t>Location de salle assemblée générale</t>
        </is>
      </c>
      <c r="F6" s="7" t="inlineStr">
        <is>
          <t>Espace Toulousain</t>
        </is>
      </c>
      <c r="G6" s="7" t="inlineStr">
        <is>
          <t>Toulouse</t>
        </is>
      </c>
      <c r="H6" s="4">
        <f>IFERROR(VLOOKUP(D6,'Paramètres'!$A$4:$B$14,2,FALSE),"Compte à définir")</f>
        <v/>
      </c>
      <c r="I6" s="7" t="inlineStr">
        <is>
          <t>Virement</t>
        </is>
      </c>
      <c r="J6" s="24" t="n">
        <v>400</v>
      </c>
      <c r="K6" s="9" t="n">
        <v>0.2</v>
      </c>
      <c r="L6" s="26">
        <f>J6*K6</f>
        <v/>
      </c>
      <c r="M6" s="26">
        <f>J6+L6</f>
        <v/>
      </c>
      <c r="N6" s="7" t="inlineStr">
        <is>
          <t>Payé</t>
        </is>
      </c>
      <c r="O6" s="4">
        <f>TEXT(A6,"mmmm")</f>
        <v/>
      </c>
      <c r="P6" s="4">
        <f>IF(OR(A6="",C6="",J6&lt;=0),"À vérifier","OK")</f>
        <v/>
      </c>
    </row>
    <row r="7">
      <c r="A7" s="23" t="n">
        <v>46061</v>
      </c>
      <c r="B7" s="7" t="inlineStr">
        <is>
          <t>PI-005</t>
        </is>
      </c>
      <c r="C7" s="7" t="inlineStr">
        <is>
          <t>Recette</t>
        </is>
      </c>
      <c r="D7" s="7" t="inlineStr">
        <is>
          <t>Billetterie</t>
        </is>
      </c>
      <c r="E7" s="7" t="inlineStr">
        <is>
          <t>Billetterie concert de printemps</t>
        </is>
      </c>
      <c r="F7" s="7" t="inlineStr">
        <is>
          <t>Spectateurs</t>
        </is>
      </c>
      <c r="G7" s="7" t="inlineStr">
        <is>
          <t>Bordeaux</t>
        </is>
      </c>
      <c r="H7" s="3">
        <f>IFERROR(VLOOKUP(D7,'Paramètres'!$A$4:$B$14,2,FALSE),"Compte à définir")</f>
        <v/>
      </c>
      <c r="I7" s="7" t="inlineStr">
        <is>
          <t>Espèces</t>
        </is>
      </c>
      <c r="J7" s="24" t="n">
        <v>1250</v>
      </c>
      <c r="K7" s="9" t="n">
        <v>0.055</v>
      </c>
      <c r="L7" s="25">
        <f>J7*K7</f>
        <v/>
      </c>
      <c r="M7" s="25">
        <f>J7+L7</f>
        <v/>
      </c>
      <c r="N7" s="7" t="inlineStr">
        <is>
          <t>Payé</t>
        </is>
      </c>
      <c r="O7" s="3">
        <f>TEXT(A7,"mmmm")</f>
        <v/>
      </c>
      <c r="P7" s="3">
        <f>IF(OR(A7="",C7="",J7&lt;=0),"À vérifier","OK")</f>
        <v/>
      </c>
    </row>
    <row r="8">
      <c r="A8" s="23" t="n">
        <v>46067</v>
      </c>
      <c r="B8" s="7" t="inlineStr">
        <is>
          <t>PI-006</t>
        </is>
      </c>
      <c r="C8" s="7" t="inlineStr">
        <is>
          <t>Dépense</t>
        </is>
      </c>
      <c r="D8" s="7" t="inlineStr">
        <is>
          <t>Déplacements</t>
        </is>
      </c>
      <c r="E8" s="7" t="inlineStr">
        <is>
          <t>Remboursement frais de déplacement</t>
        </is>
      </c>
      <c r="F8" s="7" t="inlineStr">
        <is>
          <t>Julien Martin</t>
        </is>
      </c>
      <c r="G8" s="7" t="inlineStr">
        <is>
          <t>Nantes</t>
        </is>
      </c>
      <c r="H8" s="4">
        <f>IFERROR(VLOOKUP(D8,'Paramètres'!$A$4:$B$14,2,FALSE),"Compte à définir")</f>
        <v/>
      </c>
      <c r="I8" s="7" t="inlineStr">
        <is>
          <t>Virement</t>
        </is>
      </c>
      <c r="J8" s="24" t="n">
        <v>94.5</v>
      </c>
      <c r="K8" s="9" t="n">
        <v>0</v>
      </c>
      <c r="L8" s="26">
        <f>J8*K8</f>
        <v/>
      </c>
      <c r="M8" s="26">
        <f>J8+L8</f>
        <v/>
      </c>
      <c r="N8" s="7" t="inlineStr">
        <is>
          <t>Payé</t>
        </is>
      </c>
      <c r="O8" s="4">
        <f>TEXT(A8,"mmmm")</f>
        <v/>
      </c>
      <c r="P8" s="4">
        <f>IF(OR(A8="",C8="",J8&lt;=0),"À vérifier","OK")</f>
        <v/>
      </c>
    </row>
    <row r="9">
      <c r="A9" s="23" t="n">
        <v>46078</v>
      </c>
      <c r="B9" s="7" t="inlineStr">
        <is>
          <t>PI-007</t>
        </is>
      </c>
      <c r="C9" s="7" t="inlineStr">
        <is>
          <t>Dépense</t>
        </is>
      </c>
      <c r="D9" s="7" t="inlineStr">
        <is>
          <t>Fournitures</t>
        </is>
      </c>
      <c r="E9" s="7" t="inlineStr">
        <is>
          <t>Abonnement logiciel de gestion</t>
        </is>
      </c>
      <c r="F9" s="7" t="inlineStr">
        <is>
          <t>SoftCloud SAS</t>
        </is>
      </c>
      <c r="G9" s="7" t="inlineStr">
        <is>
          <t>Lille</t>
        </is>
      </c>
      <c r="H9" s="3">
        <f>IFERROR(VLOOKUP(D9,'Paramètres'!$A$4:$B$14,2,FALSE),"Compte à définir")</f>
        <v/>
      </c>
      <c r="I9" s="7" t="inlineStr">
        <is>
          <t>Prélèvement</t>
        </is>
      </c>
      <c r="J9" s="24" t="n">
        <v>49.99</v>
      </c>
      <c r="K9" s="9" t="n">
        <v>0.2</v>
      </c>
      <c r="L9" s="25">
        <f>J9*K9</f>
        <v/>
      </c>
      <c r="M9" s="25">
        <f>J9+L9</f>
        <v/>
      </c>
      <c r="N9" s="7" t="inlineStr">
        <is>
          <t>En attente</t>
        </is>
      </c>
      <c r="O9" s="3">
        <f>TEXT(A9,"mmmm")</f>
        <v/>
      </c>
      <c r="P9" s="3">
        <f>IF(OR(A9="",C9="",J9&lt;=0),"À vérifier","OK")</f>
        <v/>
      </c>
    </row>
    <row r="10">
      <c r="A10" s="23" t="n">
        <v>46084</v>
      </c>
      <c r="B10" s="7" t="inlineStr">
        <is>
          <t>PI-008</t>
        </is>
      </c>
      <c r="C10" s="7" t="inlineStr">
        <is>
          <t>Recette</t>
        </is>
      </c>
      <c r="D10" s="7" t="inlineStr">
        <is>
          <t>Dons</t>
        </is>
      </c>
      <c r="E10" s="7" t="inlineStr">
        <is>
          <t>Don manuel du conseil d'administration</t>
        </is>
      </c>
      <c r="F10" s="7" t="inlineStr">
        <is>
          <t>Léa Bernard</t>
        </is>
      </c>
      <c r="G10" s="7" t="inlineStr">
        <is>
          <t>Rennes</t>
        </is>
      </c>
      <c r="H10" s="4">
        <f>IFERROR(VLOOKUP(D10,'Paramètres'!$A$4:$B$14,2,FALSE),"Compte à définir")</f>
        <v/>
      </c>
      <c r="I10" s="7" t="inlineStr">
        <is>
          <t>Virement</t>
        </is>
      </c>
      <c r="J10" s="24" t="n">
        <v>300</v>
      </c>
      <c r="K10" s="9" t="n">
        <v>0</v>
      </c>
      <c r="L10" s="26">
        <f>J10*K10</f>
        <v/>
      </c>
      <c r="M10" s="26">
        <f>J10+L10</f>
        <v/>
      </c>
      <c r="N10" s="7" t="inlineStr">
        <is>
          <t>Payé</t>
        </is>
      </c>
      <c r="O10" s="4">
        <f>TEXT(A10,"mmmm")</f>
        <v/>
      </c>
      <c r="P10" s="4">
        <f>IF(OR(A10="",C10="",J10&lt;=0),"À vérifier","OK")</f>
        <v/>
      </c>
    </row>
    <row r="11">
      <c r="A11" s="23" t="n">
        <v>46096</v>
      </c>
      <c r="B11" s="7" t="inlineStr">
        <is>
          <t>PI-009</t>
        </is>
      </c>
      <c r="C11" s="7" t="inlineStr">
        <is>
          <t>Dépense</t>
        </is>
      </c>
      <c r="D11" s="7" t="inlineStr">
        <is>
          <t>Communication</t>
        </is>
      </c>
      <c r="E11" s="7" t="inlineStr">
        <is>
          <t>Prestation graphique affiches et flyers</t>
        </is>
      </c>
      <c r="F11" s="7" t="inlineStr">
        <is>
          <t>Chloé Petit</t>
        </is>
      </c>
      <c r="G11" s="7" t="inlineStr">
        <is>
          <t>Montpellier</t>
        </is>
      </c>
      <c r="H11" s="3">
        <f>IFERROR(VLOOKUP(D11,'Paramètres'!$A$4:$B$14,2,FALSE),"Compte à définir")</f>
        <v/>
      </c>
      <c r="I11" s="7" t="inlineStr">
        <is>
          <t>Virement</t>
        </is>
      </c>
      <c r="J11" s="24" t="n">
        <v>350</v>
      </c>
      <c r="K11" s="9" t="n">
        <v>0.2</v>
      </c>
      <c r="L11" s="25">
        <f>J11*K11</f>
        <v/>
      </c>
      <c r="M11" s="25">
        <f>J11+L11</f>
        <v/>
      </c>
      <c r="N11" s="7" t="inlineStr">
        <is>
          <t>À vérifier</t>
        </is>
      </c>
      <c r="O11" s="3">
        <f>TEXT(A11,"mmmm")</f>
        <v/>
      </c>
      <c r="P11" s="3">
        <f>IF(OR(A11="",C11="",J11&lt;=0),"À vérifier","OK")</f>
        <v/>
      </c>
    </row>
    <row r="12">
      <c r="A12" s="23" t="n">
        <v>46109</v>
      </c>
      <c r="B12" s="7" t="inlineStr">
        <is>
          <t>PI-010</t>
        </is>
      </c>
      <c r="C12" s="7" t="inlineStr">
        <is>
          <t>Dépense</t>
        </is>
      </c>
      <c r="D12" s="7" t="inlineStr">
        <is>
          <t>Frais bancaires</t>
        </is>
      </c>
      <c r="E12" s="7" t="inlineStr">
        <is>
          <t>Frais de tenue de compte trimestre 1</t>
        </is>
      </c>
      <c r="F12" s="7" t="inlineStr">
        <is>
          <t>Banque Régionale</t>
        </is>
      </c>
      <c r="G12" s="7" t="inlineStr">
        <is>
          <t>Strasbourg</t>
        </is>
      </c>
      <c r="H12" s="4">
        <f>IFERROR(VLOOKUP(D12,'Paramètres'!$A$4:$B$14,2,FALSE),"Compte à définir")</f>
        <v/>
      </c>
      <c r="I12" s="7" t="inlineStr">
        <is>
          <t>Prélèvement</t>
        </is>
      </c>
      <c r="J12" s="24" t="n">
        <v>18</v>
      </c>
      <c r="K12" s="9" t="n">
        <v>0</v>
      </c>
      <c r="L12" s="26">
        <f>J12*K12</f>
        <v/>
      </c>
      <c r="M12" s="26">
        <f>J12+L12</f>
        <v/>
      </c>
      <c r="N12" s="7" t="inlineStr">
        <is>
          <t>Payé</t>
        </is>
      </c>
      <c r="O12" s="4">
        <f>TEXT(A12,"mmmm")</f>
        <v/>
      </c>
      <c r="P12" s="4">
        <f>IF(OR(A12="",C12="",J12&lt;=0),"À vérifier","OK")</f>
        <v/>
      </c>
    </row>
    <row r="13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3" t="inlineStr">
        <is>
          <t>Totaux</t>
        </is>
      </c>
      <c r="J13" s="27">
        <f>SUM(J3:J12)</f>
        <v/>
      </c>
      <c r="K13" s="12" t="n"/>
      <c r="L13" s="27">
        <f>SUM(L3:L12)</f>
        <v/>
      </c>
      <c r="M13" s="27">
        <f>SUM(M3:M12)</f>
        <v/>
      </c>
      <c r="N13" s="12" t="n"/>
      <c r="O13" s="12" t="n"/>
      <c r="P13" s="12" t="n"/>
    </row>
  </sheetData>
  <autoFilter ref="A2:P12"/>
  <mergeCells count="1">
    <mergeCell ref="A1:P1"/>
  </mergeCells>
  <conditionalFormatting sqref="P3:P12">
    <cfRule type="expression" priority="1" dxfId="0" stopIfTrue="1">
      <formula>$P3="À vérifier"</formula>
    </cfRule>
  </conditionalFormatting>
  <conditionalFormatting sqref="N3:N12">
    <cfRule type="expression" priority="2" dxfId="1" stopIfTrue="1">
      <formula>$N3="En attente"</formula>
    </cfRule>
  </conditionalFormatting>
  <dataValidations count="5">
    <dataValidation sqref="C3:C12" showErrorMessage="1" showInputMessage="1" allowBlank="1" type="list">
      <formula1>'Paramètres'!$D$4:$D$5</formula1>
    </dataValidation>
    <dataValidation sqref="D3:D12" showErrorMessage="1" showInputMessage="1" allowBlank="1" type="list">
      <formula1>'Paramètres'!$A$4:$A$14</formula1>
    </dataValidation>
    <dataValidation sqref="I3:I12" showErrorMessage="1" showInputMessage="1" allowBlank="1" type="list">
      <formula1>'Paramètres'!$F$4:$F$8</formula1>
    </dataValidation>
    <dataValidation sqref="N3:N12" showErrorMessage="1" showInputMessage="1" allowBlank="1" type="list">
      <formula1>'Paramètres'!$E$4:$E$6</formula1>
    </dataValidation>
    <dataValidation sqref="K3:K12" showErrorMessage="1" showInputMessage="1" allowBlank="1" type="list">
      <formula1>"0,0.055,0.1,0.2"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17" customWidth="1" min="3" max="3"/>
    <col width="17" customWidth="1" min="4" max="4"/>
    <col width="14" customWidth="1" min="5" max="5"/>
    <col width="18" customWidth="1" min="6" max="6"/>
    <col width="16" customWidth="1" min="7" max="7"/>
    <col width="14" customWidth="1" min="8" max="8"/>
  </cols>
  <sheetData>
    <row r="1">
      <c r="A1" s="1" t="inlineStr">
        <is>
          <t>Suivi budgétaire par catégorie — Exercice 2026</t>
        </is>
      </c>
    </row>
    <row r="2">
      <c r="A2" s="5" t="inlineStr">
        <is>
          <t>Catégorie</t>
        </is>
      </c>
      <c r="B2" s="5" t="inlineStr">
        <is>
          <t>Budget annuel</t>
        </is>
      </c>
      <c r="C2" s="5" t="inlineStr">
        <is>
          <t>Recettes réalisées</t>
        </is>
      </c>
      <c r="D2" s="5" t="inlineStr">
        <is>
          <t>Dépenses réalisées</t>
        </is>
      </c>
      <c r="E2" s="5" t="inlineStr">
        <is>
          <t>Solde</t>
        </is>
      </c>
      <c r="F2" s="5" t="inlineStr">
        <is>
          <t>Taux de consommation</t>
        </is>
      </c>
      <c r="G2" s="5" t="inlineStr">
        <is>
          <t>Écart au budget</t>
        </is>
      </c>
      <c r="H2" s="5" t="inlineStr">
        <is>
          <t>Alerte</t>
        </is>
      </c>
    </row>
    <row r="3">
      <c r="A3" s="3" t="inlineStr">
        <is>
          <t>Cotisations</t>
        </is>
      </c>
      <c r="B3" s="24" t="n">
        <v>3000</v>
      </c>
      <c r="C3" s="25">
        <f>SUMIFS('Écritures'!$M:$M,'Écritures'!$D:$D,A3,'Écritures'!$C:$C,"Recette")</f>
        <v/>
      </c>
      <c r="D3" s="25">
        <f>SUMIFS('Écritures'!$M:$M,'Écritures'!$D:$D,A3,'Écritures'!$C:$C,"Dépense")</f>
        <v/>
      </c>
      <c r="E3" s="25">
        <f>C3-D3</f>
        <v/>
      </c>
      <c r="F3" s="15">
        <f>IFERROR(D3/B3,0)</f>
        <v/>
      </c>
      <c r="G3" s="25">
        <f>B3-D3</f>
        <v/>
      </c>
      <c r="H3" s="3">
        <f>IF(F3&gt;1,"Dépassement",IF(F3&gt;=0.8,"À surveiller","OK"))</f>
        <v/>
      </c>
    </row>
    <row r="4">
      <c r="A4" s="4" t="inlineStr">
        <is>
          <t>Dons</t>
        </is>
      </c>
      <c r="B4" s="24" t="n">
        <v>1500</v>
      </c>
      <c r="C4" s="26">
        <f>SUMIFS('Écritures'!$M:$M,'Écritures'!$D:$D,A4,'Écritures'!$C:$C,"Recette")</f>
        <v/>
      </c>
      <c r="D4" s="26">
        <f>SUMIFS('Écritures'!$M:$M,'Écritures'!$D:$D,A4,'Écritures'!$C:$C,"Dépense")</f>
        <v/>
      </c>
      <c r="E4" s="26">
        <f>C4-D4</f>
        <v/>
      </c>
      <c r="F4" s="16">
        <f>IFERROR(D4/B4,0)</f>
        <v/>
      </c>
      <c r="G4" s="26">
        <f>B4-D4</f>
        <v/>
      </c>
      <c r="H4" s="4">
        <f>IF(F4&gt;1,"Dépassement",IF(F4&gt;=0.8,"À surveiller","OK"))</f>
        <v/>
      </c>
    </row>
    <row r="5">
      <c r="A5" s="3" t="inlineStr">
        <is>
          <t>Subventions</t>
        </is>
      </c>
      <c r="B5" s="24" t="n">
        <v>5000</v>
      </c>
      <c r="C5" s="25">
        <f>SUMIFS('Écritures'!$M:$M,'Écritures'!$D:$D,A5,'Écritures'!$C:$C,"Recette")</f>
        <v/>
      </c>
      <c r="D5" s="25">
        <f>SUMIFS('Écritures'!$M:$M,'Écritures'!$D:$D,A5,'Écritures'!$C:$C,"Dépense")</f>
        <v/>
      </c>
      <c r="E5" s="25">
        <f>C5-D5</f>
        <v/>
      </c>
      <c r="F5" s="15">
        <f>IFERROR(D5/B5,0)</f>
        <v/>
      </c>
      <c r="G5" s="25">
        <f>B5-D5</f>
        <v/>
      </c>
      <c r="H5" s="3">
        <f>IF(F5&gt;1,"Dépassement",IF(F5&gt;=0.8,"À surveiller","OK"))</f>
        <v/>
      </c>
    </row>
    <row r="6">
      <c r="A6" s="4" t="inlineStr">
        <is>
          <t>Billetterie</t>
        </is>
      </c>
      <c r="B6" s="24" t="n">
        <v>4000</v>
      </c>
      <c r="C6" s="26">
        <f>SUMIFS('Écritures'!$M:$M,'Écritures'!$D:$D,A6,'Écritures'!$C:$C,"Recette")</f>
        <v/>
      </c>
      <c r="D6" s="26">
        <f>SUMIFS('Écritures'!$M:$M,'Écritures'!$D:$D,A6,'Écritures'!$C:$C,"Dépense")</f>
        <v/>
      </c>
      <c r="E6" s="26">
        <f>C6-D6</f>
        <v/>
      </c>
      <c r="F6" s="16">
        <f>IFERROR(D6/B6,0)</f>
        <v/>
      </c>
      <c r="G6" s="26">
        <f>B6-D6</f>
        <v/>
      </c>
      <c r="H6" s="4">
        <f>IF(F6&gt;1,"Dépassement",IF(F6&gt;=0.8,"À surveiller","OK"))</f>
        <v/>
      </c>
    </row>
    <row r="7">
      <c r="A7" s="3" t="inlineStr">
        <is>
          <t>Fournitures</t>
        </is>
      </c>
      <c r="B7" s="24" t="n">
        <v>800</v>
      </c>
      <c r="C7" s="25">
        <f>SUMIFS('Écritures'!$M:$M,'Écritures'!$D:$D,A7,'Écritures'!$C:$C,"Recette")</f>
        <v/>
      </c>
      <c r="D7" s="25">
        <f>SUMIFS('Écritures'!$M:$M,'Écritures'!$D:$D,A7,'Écritures'!$C:$C,"Dépense")</f>
        <v/>
      </c>
      <c r="E7" s="25">
        <f>C7-D7</f>
        <v/>
      </c>
      <c r="F7" s="15">
        <f>IFERROR(D7/B7,0)</f>
        <v/>
      </c>
      <c r="G7" s="25">
        <f>B7-D7</f>
        <v/>
      </c>
      <c r="H7" s="3">
        <f>IF(F7&gt;1,"Dépassement",IF(F7&gt;=0.8,"À surveiller","OK"))</f>
        <v/>
      </c>
    </row>
    <row r="8">
      <c r="A8" s="4" t="inlineStr">
        <is>
          <t>Loyers</t>
        </is>
      </c>
      <c r="B8" s="24" t="n">
        <v>2500</v>
      </c>
      <c r="C8" s="26">
        <f>SUMIFS('Écritures'!$M:$M,'Écritures'!$D:$D,A8,'Écritures'!$C:$C,"Recette")</f>
        <v/>
      </c>
      <c r="D8" s="26">
        <f>SUMIFS('Écritures'!$M:$M,'Écritures'!$D:$D,A8,'Écritures'!$C:$C,"Dépense")</f>
        <v/>
      </c>
      <c r="E8" s="26">
        <f>C8-D8</f>
        <v/>
      </c>
      <c r="F8" s="16">
        <f>IFERROR(D8/B8,0)</f>
        <v/>
      </c>
      <c r="G8" s="26">
        <f>B8-D8</f>
        <v/>
      </c>
      <c r="H8" s="4">
        <f>IF(F8&gt;1,"Dépassement",IF(F8&gt;=0.8,"À surveiller","OK"))</f>
        <v/>
      </c>
    </row>
    <row r="9">
      <c r="A9" s="3" t="inlineStr">
        <is>
          <t>Communication</t>
        </is>
      </c>
      <c r="B9" s="24" t="n">
        <v>1200</v>
      </c>
      <c r="C9" s="25">
        <f>SUMIFS('Écritures'!$M:$M,'Écritures'!$D:$D,A9,'Écritures'!$C:$C,"Recette")</f>
        <v/>
      </c>
      <c r="D9" s="25">
        <f>SUMIFS('Écritures'!$M:$M,'Écritures'!$D:$D,A9,'Écritures'!$C:$C,"Dépense")</f>
        <v/>
      </c>
      <c r="E9" s="25">
        <f>C9-D9</f>
        <v/>
      </c>
      <c r="F9" s="15">
        <f>IFERROR(D9/B9,0)</f>
        <v/>
      </c>
      <c r="G9" s="25">
        <f>B9-D9</f>
        <v/>
      </c>
      <c r="H9" s="3">
        <f>IF(F9&gt;1,"Dépassement",IF(F9&gt;=0.8,"À surveiller","OK"))</f>
        <v/>
      </c>
    </row>
    <row r="10">
      <c r="A10" s="4" t="inlineStr">
        <is>
          <t>Frais bancaires</t>
        </is>
      </c>
      <c r="B10" s="24" t="n">
        <v>200</v>
      </c>
      <c r="C10" s="26">
        <f>SUMIFS('Écritures'!$M:$M,'Écritures'!$D:$D,A10,'Écritures'!$C:$C,"Recette")</f>
        <v/>
      </c>
      <c r="D10" s="26">
        <f>SUMIFS('Écritures'!$M:$M,'Écritures'!$D:$D,A10,'Écritures'!$C:$C,"Dépense")</f>
        <v/>
      </c>
      <c r="E10" s="26">
        <f>C10-D10</f>
        <v/>
      </c>
      <c r="F10" s="16">
        <f>IFERROR(D10/B10,0)</f>
        <v/>
      </c>
      <c r="G10" s="26">
        <f>B10-D10</f>
        <v/>
      </c>
      <c r="H10" s="4">
        <f>IF(F10&gt;1,"Dépassement",IF(F10&gt;=0.8,"À surveiller","OK"))</f>
        <v/>
      </c>
    </row>
    <row r="11">
      <c r="A11" s="13" t="inlineStr">
        <is>
          <t>TOTAL</t>
        </is>
      </c>
      <c r="B11" s="27">
        <f>SUM(B3:B10)</f>
        <v/>
      </c>
      <c r="C11" s="27">
        <f>SUM(C3:C10)</f>
        <v/>
      </c>
      <c r="D11" s="27">
        <f>SUM(D3:D10)</f>
        <v/>
      </c>
      <c r="E11" s="27">
        <f>SUM(E3:E10)</f>
        <v/>
      </c>
      <c r="F11" s="17">
        <f>AVERAGE(F3:F10)</f>
        <v/>
      </c>
      <c r="G11" s="27">
        <f>SUM(G3:G10)</f>
        <v/>
      </c>
      <c r="H11" s="13" t="n"/>
    </row>
  </sheetData>
  <mergeCells count="1">
    <mergeCell ref="A1:H1"/>
  </mergeCells>
  <conditionalFormatting sqref="H3:H10">
    <cfRule type="expression" priority="1" dxfId="0" stopIfTrue="1">
      <formula>$H3="Dépassement"</formula>
    </cfRule>
    <cfRule type="expression" priority="2" dxfId="1" stopIfTrue="1">
      <formula>$H3="À surveiller"</formula>
    </cfRule>
  </conditionalFormatting>
  <conditionalFormatting sqref="E3:E10">
    <cfRule type="expression" priority="3" dxfId="2" stopIfTrue="1">
      <formula>$E3&gt;0</formula>
    </cfRule>
    <cfRule type="expression" priority="4" dxfId="3" stopIfTrue="1">
      <formula>$E3&lt;0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4" customWidth="1" min="4" max="4"/>
    <col width="3" customWidth="1" min="5" max="5"/>
    <col width="18" customWidth="1" min="6" max="6"/>
    <col width="14" customWidth="1" min="7" max="7"/>
    <col width="3" customWidth="1" min="8" max="8"/>
    <col width="18" customWidth="1" min="9" max="9"/>
    <col width="12" customWidth="1" min="10" max="10"/>
  </cols>
  <sheetData>
    <row r="1">
      <c r="A1" s="1" t="inlineStr">
        <is>
          <t>Tableau de bord de l'association — Exercice 2026</t>
        </is>
      </c>
    </row>
    <row r="2"/>
    <row r="3">
      <c r="A3" s="18" t="inlineStr">
        <is>
          <t>Total des recettes</t>
        </is>
      </c>
      <c r="B3" s="28">
        <f>SUMIFS('Écritures'!$M:$M,'Écritures'!$C:$C,"Recette")</f>
        <v/>
      </c>
    </row>
    <row r="4">
      <c r="A4" s="18" t="inlineStr">
        <is>
          <t>Total des dépenses</t>
        </is>
      </c>
      <c r="B4" s="28">
        <f>SUMIFS('Écritures'!$M:$M,'Écritures'!$C:$C,"Dépense")</f>
        <v/>
      </c>
    </row>
    <row r="5">
      <c r="A5" s="18" t="inlineStr">
        <is>
          <t>Résultat net</t>
        </is>
      </c>
      <c r="B5" s="28">
        <f>B3-B4</f>
        <v/>
      </c>
    </row>
    <row r="6">
      <c r="A6" s="18" t="inlineStr">
        <is>
          <t>Nombre d'opérations</t>
        </is>
      </c>
      <c r="B6" s="20">
        <f>COUNTIF('Écritures'!$A:$A,"&gt;0")</f>
        <v/>
      </c>
    </row>
    <row r="7">
      <c r="A7" s="18" t="inlineStr">
        <is>
          <t>Opérations à vérifier</t>
        </is>
      </c>
      <c r="B7" s="20">
        <f>COUNTIF('Écritures'!$N:$N,"À vérifier")</f>
        <v/>
      </c>
    </row>
    <row r="8">
      <c r="A8" s="18" t="inlineStr">
        <is>
          <t>Taux de dépenses payées</t>
        </is>
      </c>
      <c r="B8" s="21">
        <f>IFERROR(COUNTIFS('Écritures'!$N:$N,"Payé",'Écritures'!$C:$C,"Dépense")/COUNTIF('Écritures'!$C:$C,"Dépense"),0)</f>
        <v/>
      </c>
    </row>
    <row r="9"/>
    <row r="10"/>
    <row r="11">
      <c r="A11" s="22" t="inlineStr">
        <is>
          <t>Suivi mensuel</t>
        </is>
      </c>
      <c r="F11" s="22" t="inlineStr">
        <is>
          <t>Dépenses par catégorie</t>
        </is>
      </c>
      <c r="I11" s="22" t="inlineStr">
        <is>
          <t>Budget consommé</t>
        </is>
      </c>
    </row>
    <row r="12">
      <c r="A12" s="5" t="inlineStr">
        <is>
          <t>Mois</t>
        </is>
      </c>
      <c r="B12" s="5" t="inlineStr">
        <is>
          <t>Recettes</t>
        </is>
      </c>
      <c r="C12" s="5" t="inlineStr">
        <is>
          <t>Dépenses</t>
        </is>
      </c>
      <c r="D12" s="5" t="inlineStr">
        <is>
          <t>Solde</t>
        </is>
      </c>
      <c r="F12" s="2" t="inlineStr">
        <is>
          <t>Catégorie</t>
        </is>
      </c>
      <c r="G12" s="2" t="inlineStr">
        <is>
          <t>Dépenses</t>
        </is>
      </c>
      <c r="I12" s="2" t="inlineStr">
        <is>
          <t>Catégorie</t>
        </is>
      </c>
      <c r="J12" s="2" t="inlineStr">
        <is>
          <t>Taux</t>
        </is>
      </c>
    </row>
    <row r="13">
      <c r="A13" s="4" t="inlineStr">
        <is>
          <t>Janvier</t>
        </is>
      </c>
      <c r="B13" s="26">
        <f>SUMIFS('Écritures'!$M:$M,'Écritures'!$O:$O,A13,'Écritures'!$C:$C,"Recette")</f>
        <v/>
      </c>
      <c r="C13" s="26">
        <f>SUMIFS('Écritures'!$M:$M,'Écritures'!$O:$O,A13,'Écritures'!$C:$C,"Dépense")</f>
        <v/>
      </c>
      <c r="D13" s="26">
        <f>B13-C13</f>
        <v/>
      </c>
      <c r="F13" s="4">
        <f>Budget!A3</f>
        <v/>
      </c>
      <c r="G13" s="26">
        <f>Budget!D3</f>
        <v/>
      </c>
      <c r="I13" s="4">
        <f>Budget!A3</f>
        <v/>
      </c>
      <c r="J13" s="16">
        <f>Budget!F3</f>
        <v/>
      </c>
    </row>
    <row r="14">
      <c r="A14" s="3" t="inlineStr">
        <is>
          <t>Février</t>
        </is>
      </c>
      <c r="B14" s="25">
        <f>SUMIFS('Écritures'!$M:$M,'Écritures'!$O:$O,A14,'Écritures'!$C:$C,"Recette")</f>
        <v/>
      </c>
      <c r="C14" s="25">
        <f>SUMIFS('Écritures'!$M:$M,'Écritures'!$O:$O,A14,'Écritures'!$C:$C,"Dépense")</f>
        <v/>
      </c>
      <c r="D14" s="25">
        <f>B14-C14</f>
        <v/>
      </c>
      <c r="F14" s="4">
        <f>Budget!A4</f>
        <v/>
      </c>
      <c r="G14" s="26">
        <f>Budget!D4</f>
        <v/>
      </c>
      <c r="I14" s="4">
        <f>Budget!A4</f>
        <v/>
      </c>
      <c r="J14" s="16">
        <f>Budget!F4</f>
        <v/>
      </c>
    </row>
    <row r="15">
      <c r="A15" s="4" t="inlineStr">
        <is>
          <t>Mars</t>
        </is>
      </c>
      <c r="B15" s="26">
        <f>SUMIFS('Écritures'!$M:$M,'Écritures'!$O:$O,A15,'Écritures'!$C:$C,"Recette")</f>
        <v/>
      </c>
      <c r="C15" s="26">
        <f>SUMIFS('Écritures'!$M:$M,'Écritures'!$O:$O,A15,'Écritures'!$C:$C,"Dépense")</f>
        <v/>
      </c>
      <c r="D15" s="26">
        <f>B15-C15</f>
        <v/>
      </c>
      <c r="F15" s="4">
        <f>Budget!A5</f>
        <v/>
      </c>
      <c r="G15" s="26">
        <f>Budget!D5</f>
        <v/>
      </c>
      <c r="I15" s="4">
        <f>Budget!A5</f>
        <v/>
      </c>
      <c r="J15" s="16">
        <f>Budget!F5</f>
        <v/>
      </c>
    </row>
    <row r="16">
      <c r="A16" s="3" t="inlineStr">
        <is>
          <t>Avril</t>
        </is>
      </c>
      <c r="B16" s="25">
        <f>SUMIFS('Écritures'!$M:$M,'Écritures'!$O:$O,A16,'Écritures'!$C:$C,"Recette")</f>
        <v/>
      </c>
      <c r="C16" s="25">
        <f>SUMIFS('Écritures'!$M:$M,'Écritures'!$O:$O,A16,'Écritures'!$C:$C,"Dépense")</f>
        <v/>
      </c>
      <c r="D16" s="25">
        <f>B16-C16</f>
        <v/>
      </c>
      <c r="F16" s="4">
        <f>Budget!A6</f>
        <v/>
      </c>
      <c r="G16" s="26">
        <f>Budget!D6</f>
        <v/>
      </c>
      <c r="I16" s="4">
        <f>Budget!A6</f>
        <v/>
      </c>
      <c r="J16" s="16">
        <f>Budget!F6</f>
        <v/>
      </c>
    </row>
    <row r="17">
      <c r="A17" s="4" t="inlineStr">
        <is>
          <t>Mai</t>
        </is>
      </c>
      <c r="B17" s="26">
        <f>SUMIFS('Écritures'!$M:$M,'Écritures'!$O:$O,A17,'Écritures'!$C:$C,"Recette")</f>
        <v/>
      </c>
      <c r="C17" s="26">
        <f>SUMIFS('Écritures'!$M:$M,'Écritures'!$O:$O,A17,'Écritures'!$C:$C,"Dépense")</f>
        <v/>
      </c>
      <c r="D17" s="26">
        <f>B17-C17</f>
        <v/>
      </c>
      <c r="F17" s="4">
        <f>Budget!A7</f>
        <v/>
      </c>
      <c r="G17" s="26">
        <f>Budget!D7</f>
        <v/>
      </c>
      <c r="I17" s="4">
        <f>Budget!A7</f>
        <v/>
      </c>
      <c r="J17" s="16">
        <f>Budget!F7</f>
        <v/>
      </c>
    </row>
    <row r="18">
      <c r="A18" s="3" t="inlineStr">
        <is>
          <t>Juin</t>
        </is>
      </c>
      <c r="B18" s="25">
        <f>SUMIFS('Écritures'!$M:$M,'Écritures'!$O:$O,A18,'Écritures'!$C:$C,"Recette")</f>
        <v/>
      </c>
      <c r="C18" s="25">
        <f>SUMIFS('Écritures'!$M:$M,'Écritures'!$O:$O,A18,'Écritures'!$C:$C,"Dépense")</f>
        <v/>
      </c>
      <c r="D18" s="25">
        <f>B18-C18</f>
        <v/>
      </c>
      <c r="F18" s="4">
        <f>Budget!A8</f>
        <v/>
      </c>
      <c r="G18" s="26">
        <f>Budget!D8</f>
        <v/>
      </c>
      <c r="I18" s="4">
        <f>Budget!A8</f>
        <v/>
      </c>
      <c r="J18" s="16">
        <f>Budget!F8</f>
        <v/>
      </c>
    </row>
    <row r="19">
      <c r="A19" s="4" t="inlineStr">
        <is>
          <t>Juillet</t>
        </is>
      </c>
      <c r="B19" s="26">
        <f>SUMIFS('Écritures'!$M:$M,'Écritures'!$O:$O,A19,'Écritures'!$C:$C,"Recette")</f>
        <v/>
      </c>
      <c r="C19" s="26">
        <f>SUMIFS('Écritures'!$M:$M,'Écritures'!$O:$O,A19,'Écritures'!$C:$C,"Dépense")</f>
        <v/>
      </c>
      <c r="D19" s="26">
        <f>B19-C19</f>
        <v/>
      </c>
      <c r="F19" s="4">
        <f>Budget!A9</f>
        <v/>
      </c>
      <c r="G19" s="26">
        <f>Budget!D9</f>
        <v/>
      </c>
      <c r="I19" s="4">
        <f>Budget!A9</f>
        <v/>
      </c>
      <c r="J19" s="16">
        <f>Budget!F9</f>
        <v/>
      </c>
    </row>
    <row r="20">
      <c r="A20" s="3" t="inlineStr">
        <is>
          <t>Août</t>
        </is>
      </c>
      <c r="B20" s="25">
        <f>SUMIFS('Écritures'!$M:$M,'Écritures'!$O:$O,A20,'Écritures'!$C:$C,"Recette")</f>
        <v/>
      </c>
      <c r="C20" s="25">
        <f>SUMIFS('Écritures'!$M:$M,'Écritures'!$O:$O,A20,'Écritures'!$C:$C,"Dépense")</f>
        <v/>
      </c>
      <c r="D20" s="25">
        <f>B20-C20</f>
        <v/>
      </c>
      <c r="F20" s="4">
        <f>Budget!A10</f>
        <v/>
      </c>
      <c r="G20" s="26">
        <f>Budget!D10</f>
        <v/>
      </c>
      <c r="I20" s="4">
        <f>Budget!A10</f>
        <v/>
      </c>
      <c r="J20" s="16">
        <f>Budget!F10</f>
        <v/>
      </c>
    </row>
    <row r="21">
      <c r="A21" s="4" t="inlineStr">
        <is>
          <t>Septembre</t>
        </is>
      </c>
      <c r="B21" s="26">
        <f>SUMIFS('Écritures'!$M:$M,'Écritures'!$O:$O,A21,'Écritures'!$C:$C,"Recette")</f>
        <v/>
      </c>
      <c r="C21" s="26">
        <f>SUMIFS('Écritures'!$M:$M,'Écritures'!$O:$O,A21,'Écritures'!$C:$C,"Dépense")</f>
        <v/>
      </c>
      <c r="D21" s="26">
        <f>B21-C21</f>
        <v/>
      </c>
    </row>
    <row r="22">
      <c r="A22" s="3" t="inlineStr">
        <is>
          <t>Octobre</t>
        </is>
      </c>
      <c r="B22" s="25">
        <f>SUMIFS('Écritures'!$M:$M,'Écritures'!$O:$O,A22,'Écritures'!$C:$C,"Recette")</f>
        <v/>
      </c>
      <c r="C22" s="25">
        <f>SUMIFS('Écritures'!$M:$M,'Écritures'!$O:$O,A22,'Écritures'!$C:$C,"Dépense")</f>
        <v/>
      </c>
      <c r="D22" s="25">
        <f>B22-C22</f>
        <v/>
      </c>
    </row>
    <row r="23">
      <c r="A23" s="4" t="inlineStr">
        <is>
          <t>Novembre</t>
        </is>
      </c>
      <c r="B23" s="26">
        <f>SUMIFS('Écritures'!$M:$M,'Écritures'!$O:$O,A23,'Écritures'!$C:$C,"Recette")</f>
        <v/>
      </c>
      <c r="C23" s="26">
        <f>SUMIFS('Écritures'!$M:$M,'Écritures'!$O:$O,A23,'Écritures'!$C:$C,"Dépense")</f>
        <v/>
      </c>
      <c r="D23" s="26">
        <f>B23-C23</f>
        <v/>
      </c>
    </row>
    <row r="24">
      <c r="A24" s="3" t="inlineStr">
        <is>
          <t>Décembre</t>
        </is>
      </c>
      <c r="B24" s="25">
        <f>SUMIFS('Écritures'!$M:$M,'Écritures'!$O:$O,A24,'Écritures'!$C:$C,"Recette")</f>
        <v/>
      </c>
      <c r="C24" s="25">
        <f>SUMIFS('Écritures'!$M:$M,'Écritures'!$O:$O,A24,'Écritures'!$C:$C,"Dépense")</f>
        <v/>
      </c>
      <c r="D24" s="25">
        <f>B24-C24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2026-08-01T13:21:45Z</dcterms:created>
  <dcterms:modified xmlns:dcterms="http://purl.org/dc/terms/" xmlns:xsi="http://www.w3.org/2001/XMLSchema-instance" xsi:type="dcterms:W3CDTF">2026-08-01T13:21:45Z</dcterms:modified>
</cp:coreProperties>
</file>