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'Ventes'!$A$1:$V$10</definedName>
    <definedName name="_xlnm._FilterDatabase" localSheetId="2" hidden="1">'Référentiel'!$A$1:$F$11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&quot;€&quot;"/>
    <numFmt numFmtId="166" formatCode="0,0 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1E293B"/>
      <sz val="14"/>
    </font>
    <font>
      <name val="Calibri"/>
      <b val="1"/>
    </font>
    <font>
      <name val="Calibri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EF2F7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applyAlignment="1" pivotButton="0" quotePrefix="0" xfId="0">
      <alignment horizontal="right" vertical="center"/>
    </xf>
    <xf numFmtId="166" fontId="0" fillId="4" borderId="1" pivotButton="0" quotePrefix="0" xfId="0"/>
    <xf numFmtId="166" fontId="0" fillId="3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applyAlignment="1" pivotButton="0" quotePrefix="0" xfId="0">
      <alignment horizontal="right" vertical="center"/>
    </xf>
    <xf numFmtId="166" fontId="0" fillId="0" borderId="1" pivotButton="0" quotePrefix="0" xfId="0"/>
    <xf numFmtId="0" fontId="2" fillId="0" borderId="0" pivotButton="0" quotePrefix="0" xfId="0"/>
    <xf numFmtId="0" fontId="3" fillId="5" borderId="1" pivotButton="0" quotePrefix="0" xfId="0"/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0" fontId="3" fillId="0" borderId="1" pivotButton="0" quotePrefix="0" xfId="0"/>
    <xf numFmtId="166" fontId="0" fillId="0" borderId="1" applyAlignment="1" pivotButton="0" quotePrefix="0" xfId="0">
      <alignment horizontal="right" vertical="center"/>
    </xf>
    <xf numFmtId="0" fontId="3" fillId="3" borderId="1" pivotButton="0" quotePrefix="0" xfId="0"/>
    <xf numFmtId="166" fontId="0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1" fillId="2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3" borderId="1" pivotButton="0" quotePrefix="0" xfId="0"/>
    <xf numFmtId="165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pivotButton="0" quotePrefix="0" xfId="0"/>
    <xf numFmtId="166" fontId="4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1" fillId="6" borderId="0" pivotButton="0" quotePrefix="0" xfId="0"/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6" fontId="0" fillId="4" borderId="1" pivotButton="0" quotePrefix="0" xfId="0"/>
    <xf numFmtId="166" fontId="0" fillId="3" borderId="1" pivotButton="0" quotePrefix="0" xfId="0"/>
    <xf numFmtId="165" fontId="0" fillId="0" borderId="1" applyAlignment="1" pivotButton="0" quotePrefix="0" xfId="0">
      <alignment horizontal="right" vertical="center"/>
    </xf>
    <xf numFmtId="166" fontId="0" fillId="0" borderId="1" pivotButton="0" quotePrefix="0" xfId="0"/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4" fontId="0" fillId="0" borderId="1" pivotButton="0" quotePrefix="0" xfId="0"/>
    <xf numFmtId="165" fontId="0" fillId="0" borderId="1" pivotButton="0" quotePrefix="0" xfId="0"/>
    <xf numFmtId="165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</dxf>
    <dxf>
      <font>
        <name val="Calibri"/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 HT et marge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'Synthèse'!$A$15:$A$19</f>
            </numRef>
          </cat>
          <val>
            <numRef>
              <f>'Synthèse'!$B$15:$B$19</f>
            </numRef>
          </val>
        </ser>
        <ser>
          <idx val="1"/>
          <order val="1"/>
          <tx>
            <strRef>
              <f>'Synthèse'!D14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'Synthèse'!$A$15:$A$19</f>
            </numRef>
          </cat>
          <val>
            <numRef>
              <f>'Synthèse'!$D$15:$D$19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CA HT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'Synthèse'!B14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'Synthèse'!$A$15:$A$19</f>
            </numRef>
          </cat>
          <val>
            <numRef>
              <f>'Synthèse'!$B$15:$B$19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 HT par date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'Synthèse'!H23</f>
            </strRef>
          </tx>
          <spPr>
            <a:ln xmlns:a="http://schemas.openxmlformats.org/drawingml/2006/main" w="22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'Synthèse'!$G$24:$G$32</f>
            </numRef>
          </cat>
          <val>
            <numRef>
              <f>'Synthèse'!$H$24:$H$32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61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9" customWidth="1" min="1" max="1"/>
    <col width="12" customWidth="1" min="2" max="2"/>
    <col width="12" customWidth="1" min="3" max="3"/>
    <col width="26" customWidth="1" min="4" max="4"/>
    <col width="13" customWidth="1" min="5" max="5"/>
    <col width="16" customWidth="1" min="6" max="6"/>
    <col width="24" customWidth="1" min="7" max="7"/>
    <col width="18" customWidth="1" min="8" max="8"/>
    <col width="9" customWidth="1" min="9" max="9"/>
    <col width="15" customWidth="1" min="10" max="10"/>
    <col width="15" customWidth="1" min="11" max="11"/>
    <col width="10" customWidth="1" min="12" max="12"/>
    <col width="11" customWidth="1" min="13" max="13"/>
    <col width="16" customWidth="1" min="14" max="14"/>
    <col width="17" customWidth="1" min="15" max="15"/>
    <col width="15" customWidth="1" min="16" max="16"/>
    <col width="17" customWidth="1" min="17" max="17"/>
    <col width="12" customWidth="1" min="18" max="18"/>
    <col width="12" customWidth="1" min="19" max="19"/>
    <col width="14" customWidth="1" min="20" max="20"/>
    <col width="17" customWidth="1" min="21" max="21"/>
    <col width="20" customWidth="1" min="22" max="22"/>
  </cols>
  <sheetData>
    <row r="1" ht="32" customHeight="1">
      <c r="A1" s="1" t="inlineStr">
        <is>
          <t>ID vente</t>
        </is>
      </c>
      <c r="B1" s="1" t="inlineStr">
        <is>
          <t>Date</t>
        </is>
      </c>
      <c r="C1" s="1" t="inlineStr">
        <is>
          <t>Commercial</t>
        </is>
      </c>
      <c r="D1" s="1" t="inlineStr">
        <is>
          <t>Client</t>
        </is>
      </c>
      <c r="E1" s="1" t="inlineStr">
        <is>
          <t>Ville</t>
        </is>
      </c>
      <c r="F1" s="1" t="inlineStr">
        <is>
          <t>Référence produit</t>
        </is>
      </c>
      <c r="G1" s="1" t="inlineStr">
        <is>
          <t>Produit</t>
        </is>
      </c>
      <c r="H1" s="1" t="inlineStr">
        <is>
          <t>Catégorie</t>
        </is>
      </c>
      <c r="I1" s="1" t="inlineStr">
        <is>
          <t>Quantité</t>
        </is>
      </c>
      <c r="J1" s="1" t="inlineStr">
        <is>
          <t>Prix d'achat unitaire HT</t>
        </is>
      </c>
      <c r="K1" s="1" t="inlineStr">
        <is>
          <t>Prix de vente unitaire HT</t>
        </is>
      </c>
      <c r="L1" s="1" t="inlineStr">
        <is>
          <t>Remise %</t>
        </is>
      </c>
      <c r="M1" s="1" t="inlineStr">
        <is>
          <t>Taux de TVA</t>
        </is>
      </c>
      <c r="N1" s="1" t="inlineStr">
        <is>
          <t>Coût d'achat total HT</t>
        </is>
      </c>
      <c r="O1" s="1" t="inlineStr">
        <is>
          <t>Chiffre d'affaires HT</t>
        </is>
      </c>
      <c r="P1" s="1" t="inlineStr">
        <is>
          <t>Montant remise HT</t>
        </is>
      </c>
      <c r="Q1" s="1" t="inlineStr">
        <is>
          <t>Marge commerciale HT</t>
        </is>
      </c>
      <c r="R1" s="1" t="inlineStr">
        <is>
          <t>Taux de marge %</t>
        </is>
      </c>
      <c r="S1" s="1" t="inlineStr">
        <is>
          <t>Taux de marque %</t>
        </is>
      </c>
      <c r="T1" s="1" t="inlineStr">
        <is>
          <t>TVA collectée</t>
        </is>
      </c>
      <c r="U1" s="1" t="inlineStr">
        <is>
          <t>Chiffre d'affaires TTC</t>
        </is>
      </c>
      <c r="V1" s="1" t="inlineStr">
        <is>
          <t>Statut marge</t>
        </is>
      </c>
    </row>
    <row r="2">
      <c r="A2" s="2" t="n">
        <v>1</v>
      </c>
      <c r="B2" s="37" t="n">
        <v>46027</v>
      </c>
      <c r="C2" s="4" t="inlineStr">
        <is>
          <t>Camille</t>
        </is>
      </c>
      <c r="D2" s="4" t="inlineStr">
        <is>
          <t>SARL Dufort &amp; Fils</t>
        </is>
      </c>
      <c r="E2" s="4" t="inlineStr">
        <is>
          <t>Paris</t>
        </is>
      </c>
      <c r="F2" s="5" t="inlineStr">
        <is>
          <t>REF-001</t>
        </is>
      </c>
      <c r="G2" s="6">
        <f>IFERROR(VLOOKUP(F2,Référentiel!$A$2:$E$11,2,FALSE),"Produit inconnu")</f>
        <v/>
      </c>
      <c r="H2" s="6">
        <f>IFERROR(VLOOKUP(F2,Référentiel!$A$2:$E$11,3,FALSE),"")</f>
        <v/>
      </c>
      <c r="I2" s="5" t="n">
        <v>3</v>
      </c>
      <c r="J2" s="38">
        <f>IFERROR(VLOOKUP(F2,Référentiel!$A$2:$E$11,4,FALSE),0)</f>
        <v/>
      </c>
      <c r="K2" s="38">
        <f>IFERROR(VLOOKUP(F2,Référentiel!$A$2:$E$11,5,FALSE),0)</f>
        <v/>
      </c>
      <c r="L2" s="39" t="n">
        <v>0.05</v>
      </c>
      <c r="M2" s="39" t="n">
        <v>0.2</v>
      </c>
      <c r="N2" s="38">
        <f>I2*J2</f>
        <v/>
      </c>
      <c r="O2" s="38">
        <f>I2*K2*(1-L2)</f>
        <v/>
      </c>
      <c r="P2" s="38">
        <f>I2*K2*L2</f>
        <v/>
      </c>
      <c r="Q2" s="38">
        <f>O2-N2</f>
        <v/>
      </c>
      <c r="R2" s="40">
        <f>IFERROR(Q2/N2,0)</f>
        <v/>
      </c>
      <c r="S2" s="40">
        <f>IFERROR(Q2/O2,0)</f>
        <v/>
      </c>
      <c r="T2" s="38">
        <f>O2*M2</f>
        <v/>
      </c>
      <c r="U2" s="38">
        <f>O2+T2</f>
        <v/>
      </c>
      <c r="V2" s="6">
        <f>IF(Q2&lt;0,"Alerte : marge négative",IF(R2&lt;0.3,"À surveiller","Marge satisfaisante"))</f>
        <v/>
      </c>
    </row>
    <row r="3">
      <c r="A3" s="10" t="n">
        <v>2</v>
      </c>
      <c r="B3" s="37" t="n">
        <v>46031</v>
      </c>
      <c r="C3" s="4" t="inlineStr">
        <is>
          <t>Julien</t>
        </is>
      </c>
      <c r="D3" s="4" t="inlineStr">
        <is>
          <t>EURL Lambert Conseil</t>
        </is>
      </c>
      <c r="E3" s="4" t="inlineStr">
        <is>
          <t>Lyon</t>
        </is>
      </c>
      <c r="F3" s="5" t="inlineStr">
        <is>
          <t>REF-003</t>
        </is>
      </c>
      <c r="G3" s="11">
        <f>IFERROR(VLOOKUP(F3,Référentiel!$A$2:$E$11,2,FALSE),"Produit inconnu")</f>
        <v/>
      </c>
      <c r="H3" s="11">
        <f>IFERROR(VLOOKUP(F3,Référentiel!$A$2:$E$11,3,FALSE),"")</f>
        <v/>
      </c>
      <c r="I3" s="5" t="n">
        <v>2</v>
      </c>
      <c r="J3" s="41">
        <f>IFERROR(VLOOKUP(F3,Référentiel!$A$2:$E$11,4,FALSE),0)</f>
        <v/>
      </c>
      <c r="K3" s="41">
        <f>IFERROR(VLOOKUP(F3,Référentiel!$A$2:$E$11,5,FALSE),0)</f>
        <v/>
      </c>
      <c r="L3" s="39" t="n">
        <v>0</v>
      </c>
      <c r="M3" s="39" t="n">
        <v>0.2</v>
      </c>
      <c r="N3" s="41">
        <f>I3*J3</f>
        <v/>
      </c>
      <c r="O3" s="41">
        <f>I3*K3*(1-L3)</f>
        <v/>
      </c>
      <c r="P3" s="41">
        <f>I3*K3*L3</f>
        <v/>
      </c>
      <c r="Q3" s="41">
        <f>O3-N3</f>
        <v/>
      </c>
      <c r="R3" s="42">
        <f>IFERROR(Q3/N3,0)</f>
        <v/>
      </c>
      <c r="S3" s="42">
        <f>IFERROR(Q3/O3,0)</f>
        <v/>
      </c>
      <c r="T3" s="41">
        <f>O3*M3</f>
        <v/>
      </c>
      <c r="U3" s="41">
        <f>O3+T3</f>
        <v/>
      </c>
      <c r="V3" s="11">
        <f>IF(Q3&lt;0,"Alerte : marge négative",IF(R3&lt;0.3,"À surveiller","Marge satisfaisante"))</f>
        <v/>
      </c>
    </row>
    <row r="4">
      <c r="A4" s="2" t="n">
        <v>3</v>
      </c>
      <c r="B4" s="37" t="n">
        <v>46037</v>
      </c>
      <c r="C4" s="4" t="inlineStr">
        <is>
          <t>Léa</t>
        </is>
      </c>
      <c r="D4" s="4" t="inlineStr">
        <is>
          <t>Boulangerie Les Saveurs</t>
        </is>
      </c>
      <c r="E4" s="4" t="inlineStr">
        <is>
          <t>Marseille</t>
        </is>
      </c>
      <c r="F4" s="5" t="inlineStr">
        <is>
          <t>REF-006</t>
        </is>
      </c>
      <c r="G4" s="6">
        <f>IFERROR(VLOOKUP(F4,Référentiel!$A$2:$E$11,2,FALSE),"Produit inconnu")</f>
        <v/>
      </c>
      <c r="H4" s="6">
        <f>IFERROR(VLOOKUP(F4,Référentiel!$A$2:$E$11,3,FALSE),"")</f>
        <v/>
      </c>
      <c r="I4" s="5" t="n">
        <v>1</v>
      </c>
      <c r="J4" s="38">
        <f>IFERROR(VLOOKUP(F4,Référentiel!$A$2:$E$11,4,FALSE),0)</f>
        <v/>
      </c>
      <c r="K4" s="38">
        <f>IFERROR(VLOOKUP(F4,Référentiel!$A$2:$E$11,5,FALSE),0)</f>
        <v/>
      </c>
      <c r="L4" s="39" t="n">
        <v>0</v>
      </c>
      <c r="M4" s="39" t="n">
        <v>0.2</v>
      </c>
      <c r="N4" s="38">
        <f>I4*J4</f>
        <v/>
      </c>
      <c r="O4" s="38">
        <f>I4*K4*(1-L4)</f>
        <v/>
      </c>
      <c r="P4" s="38">
        <f>I4*K4*L4</f>
        <v/>
      </c>
      <c r="Q4" s="38">
        <f>O4-N4</f>
        <v/>
      </c>
      <c r="R4" s="40">
        <f>IFERROR(Q4/N4,0)</f>
        <v/>
      </c>
      <c r="S4" s="40">
        <f>IFERROR(Q4/O4,0)</f>
        <v/>
      </c>
      <c r="T4" s="38">
        <f>O4*M4</f>
        <v/>
      </c>
      <c r="U4" s="38">
        <f>O4+T4</f>
        <v/>
      </c>
      <c r="V4" s="6">
        <f>IF(Q4&lt;0,"Alerte : marge négative",IF(R4&lt;0.3,"À surveiller","Marge satisfaisante"))</f>
        <v/>
      </c>
    </row>
    <row r="5">
      <c r="A5" s="10" t="n">
        <v>4</v>
      </c>
      <c r="B5" s="37" t="n">
        <v>46044</v>
      </c>
      <c r="C5" s="4" t="inlineStr">
        <is>
          <t>Thomas</t>
        </is>
      </c>
      <c r="D5" s="4" t="inlineStr">
        <is>
          <t>Cabinet Morel Avocats</t>
        </is>
      </c>
      <c r="E5" s="4" t="inlineStr">
        <is>
          <t>Toulouse</t>
        </is>
      </c>
      <c r="F5" s="5" t="inlineStr">
        <is>
          <t>REF-002</t>
        </is>
      </c>
      <c r="G5" s="11">
        <f>IFERROR(VLOOKUP(F5,Référentiel!$A$2:$E$11,2,FALSE),"Produit inconnu")</f>
        <v/>
      </c>
      <c r="H5" s="11">
        <f>IFERROR(VLOOKUP(F5,Référentiel!$A$2:$E$11,3,FALSE),"")</f>
        <v/>
      </c>
      <c r="I5" s="5" t="n">
        <v>1</v>
      </c>
      <c r="J5" s="41">
        <f>IFERROR(VLOOKUP(F5,Référentiel!$A$2:$E$11,4,FALSE),0)</f>
        <v/>
      </c>
      <c r="K5" s="41">
        <f>IFERROR(VLOOKUP(F5,Référentiel!$A$2:$E$11,5,FALSE),0)</f>
        <v/>
      </c>
      <c r="L5" s="39" t="n">
        <v>0.1</v>
      </c>
      <c r="M5" s="39" t="n">
        <v>0.2</v>
      </c>
      <c r="N5" s="41">
        <f>I5*J5</f>
        <v/>
      </c>
      <c r="O5" s="41">
        <f>I5*K5*(1-L5)</f>
        <v/>
      </c>
      <c r="P5" s="41">
        <f>I5*K5*L5</f>
        <v/>
      </c>
      <c r="Q5" s="41">
        <f>O5-N5</f>
        <v/>
      </c>
      <c r="R5" s="42">
        <f>IFERROR(Q5/N5,0)</f>
        <v/>
      </c>
      <c r="S5" s="42">
        <f>IFERROR(Q5/O5,0)</f>
        <v/>
      </c>
      <c r="T5" s="41">
        <f>O5*M5</f>
        <v/>
      </c>
      <c r="U5" s="41">
        <f>O5+T5</f>
        <v/>
      </c>
      <c r="V5" s="11">
        <f>IF(Q5&lt;0,"Alerte : marge négative",IF(R5&lt;0.3,"À surveiller","Marge satisfaisante"))</f>
        <v/>
      </c>
    </row>
    <row r="6">
      <c r="A6" s="2" t="n">
        <v>5</v>
      </c>
      <c r="B6" s="37" t="n">
        <v>46051</v>
      </c>
      <c r="C6" s="4" t="inlineStr">
        <is>
          <t>Chloé</t>
        </is>
      </c>
      <c r="D6" s="4" t="inlineStr">
        <is>
          <t>Association Horizon</t>
        </is>
      </c>
      <c r="E6" s="4" t="inlineStr">
        <is>
          <t>Bordeaux</t>
        </is>
      </c>
      <c r="F6" s="5" t="inlineStr">
        <is>
          <t>REF-008</t>
        </is>
      </c>
      <c r="G6" s="6">
        <f>IFERROR(VLOOKUP(F6,Référentiel!$A$2:$E$11,2,FALSE),"Produit inconnu")</f>
        <v/>
      </c>
      <c r="H6" s="6">
        <f>IFERROR(VLOOKUP(F6,Référentiel!$A$2:$E$11,3,FALSE),"")</f>
        <v/>
      </c>
      <c r="I6" s="5" t="n">
        <v>12</v>
      </c>
      <c r="J6" s="38">
        <f>IFERROR(VLOOKUP(F6,Référentiel!$A$2:$E$11,4,FALSE),0)</f>
        <v/>
      </c>
      <c r="K6" s="38">
        <f>IFERROR(VLOOKUP(F6,Référentiel!$A$2:$E$11,5,FALSE),0)</f>
        <v/>
      </c>
      <c r="L6" s="39" t="n">
        <v>0.1</v>
      </c>
      <c r="M6" s="39" t="n">
        <v>0.2</v>
      </c>
      <c r="N6" s="38">
        <f>I6*J6</f>
        <v/>
      </c>
      <c r="O6" s="38">
        <f>I6*K6*(1-L6)</f>
        <v/>
      </c>
      <c r="P6" s="38">
        <f>I6*K6*L6</f>
        <v/>
      </c>
      <c r="Q6" s="38">
        <f>O6-N6</f>
        <v/>
      </c>
      <c r="R6" s="40">
        <f>IFERROR(Q6/N6,0)</f>
        <v/>
      </c>
      <c r="S6" s="40">
        <f>IFERROR(Q6/O6,0)</f>
        <v/>
      </c>
      <c r="T6" s="38">
        <f>O6*M6</f>
        <v/>
      </c>
      <c r="U6" s="38">
        <f>O6+T6</f>
        <v/>
      </c>
      <c r="V6" s="6">
        <f>IF(Q6&lt;0,"Alerte : marge négative",IF(R6&lt;0.3,"À surveiller","Marge satisfaisante"))</f>
        <v/>
      </c>
    </row>
    <row r="7">
      <c r="A7" s="10" t="n">
        <v>6</v>
      </c>
      <c r="B7" s="37" t="n">
        <v>46057</v>
      </c>
      <c r="C7" s="4" t="inlineStr">
        <is>
          <t>Camille</t>
        </is>
      </c>
      <c r="D7" s="4" t="inlineStr">
        <is>
          <t>Garage Martin Automobiles</t>
        </is>
      </c>
      <c r="E7" s="4" t="inlineStr">
        <is>
          <t>Lille</t>
        </is>
      </c>
      <c r="F7" s="5" t="inlineStr">
        <is>
          <t>REF-004</t>
        </is>
      </c>
      <c r="G7" s="11">
        <f>IFERROR(VLOOKUP(F7,Référentiel!$A$2:$E$11,2,FALSE),"Produit inconnu")</f>
        <v/>
      </c>
      <c r="H7" s="11">
        <f>IFERROR(VLOOKUP(F7,Référentiel!$A$2:$E$11,3,FALSE),"")</f>
        <v/>
      </c>
      <c r="I7" s="5" t="n">
        <v>2</v>
      </c>
      <c r="J7" s="41">
        <f>IFERROR(VLOOKUP(F7,Référentiel!$A$2:$E$11,4,FALSE),0)</f>
        <v/>
      </c>
      <c r="K7" s="41">
        <f>IFERROR(VLOOKUP(F7,Référentiel!$A$2:$E$11,5,FALSE),0)</f>
        <v/>
      </c>
      <c r="L7" s="39" t="n">
        <v>0.05</v>
      </c>
      <c r="M7" s="39" t="n">
        <v>0.2</v>
      </c>
      <c r="N7" s="41">
        <f>I7*J7</f>
        <v/>
      </c>
      <c r="O7" s="41">
        <f>I7*K7*(1-L7)</f>
        <v/>
      </c>
      <c r="P7" s="41">
        <f>I7*K7*L7</f>
        <v/>
      </c>
      <c r="Q7" s="41">
        <f>O7-N7</f>
        <v/>
      </c>
      <c r="R7" s="42">
        <f>IFERROR(Q7/N7,0)</f>
        <v/>
      </c>
      <c r="S7" s="42">
        <f>IFERROR(Q7/O7,0)</f>
        <v/>
      </c>
      <c r="T7" s="41">
        <f>O7*M7</f>
        <v/>
      </c>
      <c r="U7" s="41">
        <f>O7+T7</f>
        <v/>
      </c>
      <c r="V7" s="11">
        <f>IF(Q7&lt;0,"Alerte : marge négative",IF(R7&lt;0.3,"À surveiller","Marge satisfaisante"))</f>
        <v/>
      </c>
    </row>
    <row r="8">
      <c r="A8" s="2" t="n">
        <v>7</v>
      </c>
      <c r="B8" s="37" t="n">
        <v>46063</v>
      </c>
      <c r="C8" s="4" t="inlineStr">
        <is>
          <t>Julien</t>
        </is>
      </c>
      <c r="D8" s="4" t="inlineStr">
        <is>
          <t>Pharmacie du Port</t>
        </is>
      </c>
      <c r="E8" s="4" t="inlineStr">
        <is>
          <t>Nantes</t>
        </is>
      </c>
      <c r="F8" s="5" t="inlineStr">
        <is>
          <t>REF-005</t>
        </is>
      </c>
      <c r="G8" s="6">
        <f>IFERROR(VLOOKUP(F8,Référentiel!$A$2:$E$11,2,FALSE),"Produit inconnu")</f>
        <v/>
      </c>
      <c r="H8" s="6">
        <f>IFERROR(VLOOKUP(F8,Référentiel!$A$2:$E$11,3,FALSE),"")</f>
        <v/>
      </c>
      <c r="I8" s="5" t="n">
        <v>1</v>
      </c>
      <c r="J8" s="38">
        <f>IFERROR(VLOOKUP(F8,Référentiel!$A$2:$E$11,4,FALSE),0)</f>
        <v/>
      </c>
      <c r="K8" s="38">
        <f>IFERROR(VLOOKUP(F8,Référentiel!$A$2:$E$11,5,FALSE),0)</f>
        <v/>
      </c>
      <c r="L8" s="39" t="n">
        <v>0</v>
      </c>
      <c r="M8" s="39" t="n">
        <v>0.1</v>
      </c>
      <c r="N8" s="38">
        <f>I8*J8</f>
        <v/>
      </c>
      <c r="O8" s="38">
        <f>I8*K8*(1-L8)</f>
        <v/>
      </c>
      <c r="P8" s="38">
        <f>I8*K8*L8</f>
        <v/>
      </c>
      <c r="Q8" s="38">
        <f>O8-N8</f>
        <v/>
      </c>
      <c r="R8" s="40">
        <f>IFERROR(Q8/N8,0)</f>
        <v/>
      </c>
      <c r="S8" s="40">
        <f>IFERROR(Q8/O8,0)</f>
        <v/>
      </c>
      <c r="T8" s="38">
        <f>O8*M8</f>
        <v/>
      </c>
      <c r="U8" s="38">
        <f>O8+T8</f>
        <v/>
      </c>
      <c r="V8" s="6">
        <f>IF(Q8&lt;0,"Alerte : marge négative",IF(R8&lt;0.3,"À surveiller","Marge satisfaisante"))</f>
        <v/>
      </c>
    </row>
    <row r="9">
      <c r="A9" s="10" t="n">
        <v>8</v>
      </c>
      <c r="B9" s="37" t="n">
        <v>46070</v>
      </c>
      <c r="C9" s="4" t="inlineStr">
        <is>
          <t>Léa</t>
        </is>
      </c>
      <c r="D9" s="4" t="inlineStr">
        <is>
          <t>SAS Bretagne Négoce</t>
        </is>
      </c>
      <c r="E9" s="4" t="inlineStr">
        <is>
          <t>Rennes</t>
        </is>
      </c>
      <c r="F9" s="5" t="inlineStr">
        <is>
          <t>REF-007</t>
        </is>
      </c>
      <c r="G9" s="11">
        <f>IFERROR(VLOOKUP(F9,Référentiel!$A$2:$E$11,2,FALSE),"Produit inconnu")</f>
        <v/>
      </c>
      <c r="H9" s="11">
        <f>IFERROR(VLOOKUP(F9,Référentiel!$A$2:$E$11,3,FALSE),"")</f>
        <v/>
      </c>
      <c r="I9" s="5" t="n">
        <v>4</v>
      </c>
      <c r="J9" s="41">
        <f>IFERROR(VLOOKUP(F9,Référentiel!$A$2:$E$11,4,FALSE),0)</f>
        <v/>
      </c>
      <c r="K9" s="41">
        <f>IFERROR(VLOOKUP(F9,Référentiel!$A$2:$E$11,5,FALSE),0)</f>
        <v/>
      </c>
      <c r="L9" s="39" t="n">
        <v>0.05</v>
      </c>
      <c r="M9" s="39" t="n">
        <v>0.2</v>
      </c>
      <c r="N9" s="41">
        <f>I9*J9</f>
        <v/>
      </c>
      <c r="O9" s="41">
        <f>I9*K9*(1-L9)</f>
        <v/>
      </c>
      <c r="P9" s="41">
        <f>I9*K9*L9</f>
        <v/>
      </c>
      <c r="Q9" s="41">
        <f>O9-N9</f>
        <v/>
      </c>
      <c r="R9" s="42">
        <f>IFERROR(Q9/N9,0)</f>
        <v/>
      </c>
      <c r="S9" s="42">
        <f>IFERROR(Q9/O9,0)</f>
        <v/>
      </c>
      <c r="T9" s="41">
        <f>O9*M9</f>
        <v/>
      </c>
      <c r="U9" s="41">
        <f>O9+T9</f>
        <v/>
      </c>
      <c r="V9" s="11">
        <f>IF(Q9&lt;0,"Alerte : marge négative",IF(R9&lt;0.3,"À surveiller","Marge satisfaisante"))</f>
        <v/>
      </c>
    </row>
    <row r="10">
      <c r="A10" s="2" t="n">
        <v>9</v>
      </c>
      <c r="B10" s="37" t="n">
        <v>46081</v>
      </c>
      <c r="C10" s="4" t="inlineStr">
        <is>
          <t>Thomas</t>
        </is>
      </c>
      <c r="D10" s="4" t="inlineStr">
        <is>
          <t>Hôtel Le Méditerranée</t>
        </is>
      </c>
      <c r="E10" s="4" t="inlineStr">
        <is>
          <t>Montpellier</t>
        </is>
      </c>
      <c r="F10" s="5" t="inlineStr">
        <is>
          <t>REF-001</t>
        </is>
      </c>
      <c r="G10" s="6">
        <f>IFERROR(VLOOKUP(F10,Référentiel!$A$2:$E$11,2,FALSE),"Produit inconnu")</f>
        <v/>
      </c>
      <c r="H10" s="6">
        <f>IFERROR(VLOOKUP(F10,Référentiel!$A$2:$E$11,3,FALSE),"")</f>
        <v/>
      </c>
      <c r="I10" s="5" t="n">
        <v>5</v>
      </c>
      <c r="J10" s="38">
        <f>IFERROR(VLOOKUP(F10,Référentiel!$A$2:$E$11,4,FALSE),0)</f>
        <v/>
      </c>
      <c r="K10" s="38">
        <f>IFERROR(VLOOKUP(F10,Référentiel!$A$2:$E$11,5,FALSE),0)</f>
        <v/>
      </c>
      <c r="L10" s="39" t="n">
        <v>0.1</v>
      </c>
      <c r="M10" s="39" t="n">
        <v>0.2</v>
      </c>
      <c r="N10" s="38">
        <f>I10*J10</f>
        <v/>
      </c>
      <c r="O10" s="38">
        <f>I10*K10*(1-L10)</f>
        <v/>
      </c>
      <c r="P10" s="38">
        <f>I10*K10*L10</f>
        <v/>
      </c>
      <c r="Q10" s="38">
        <f>O10-N10</f>
        <v/>
      </c>
      <c r="R10" s="40">
        <f>IFERROR(Q10/N10,0)</f>
        <v/>
      </c>
      <c r="S10" s="40">
        <f>IFERROR(Q10/O10,0)</f>
        <v/>
      </c>
      <c r="T10" s="38">
        <f>O10*M10</f>
        <v/>
      </c>
      <c r="U10" s="38">
        <f>O10+T10</f>
        <v/>
      </c>
      <c r="V10" s="6">
        <f>IF(Q10&lt;0,"Alerte : marge négative",IF(R10&lt;0.3,"À surveiller","Marge satisfaisante"))</f>
        <v/>
      </c>
    </row>
  </sheetData>
  <autoFilter ref="A1:V10"/>
  <conditionalFormatting sqref="Q2:Q10">
    <cfRule type="expression" priority="1" dxfId="0" stopIfTrue="1">
      <formula>Q2&lt;0</formula>
    </cfRule>
    <cfRule type="expression" priority="2" dxfId="1" stopIfTrue="1">
      <formula>Q2&gt;=0</formula>
    </cfRule>
  </conditionalFormatting>
  <conditionalFormatting sqref="V2:V10">
    <cfRule type="expression" priority="3" dxfId="1" stopIfTrue="1">
      <formula>V2="Marge satisfaisante"</formula>
    </cfRule>
    <cfRule type="expression" priority="4" dxfId="0" stopIfTrue="1">
      <formula>OR(V2="À surveiller",V2="Alerte : marge négative")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  <col width="14" customWidth="1" min="5" max="5"/>
    <col width="3" customWidth="1" min="6" max="6"/>
    <col width="12" customWidth="1" min="7" max="7"/>
    <col width="14" customWidth="1" min="8" max="8"/>
  </cols>
  <sheetData>
    <row r="1">
      <c r="A1" s="14" t="inlineStr">
        <is>
          <t>Synthèse — Marge commerciale</t>
        </is>
      </c>
    </row>
    <row r="2"/>
    <row r="3">
      <c r="A3" s="15" t="inlineStr">
        <is>
          <t>Chiffre d'affaires HT total</t>
        </is>
      </c>
      <c r="B3" s="43">
        <f>SUM(Ventes!O2:O10)</f>
        <v/>
      </c>
    </row>
    <row r="4">
      <c r="A4" s="15" t="inlineStr">
        <is>
          <t>Coût d'achat total HT</t>
        </is>
      </c>
      <c r="B4" s="43">
        <f>SUM(Ventes!N2:N10)</f>
        <v/>
      </c>
    </row>
    <row r="5">
      <c r="A5" s="15" t="inlineStr">
        <is>
          <t>Marge commerciale totale</t>
        </is>
      </c>
      <c r="B5" s="43">
        <f>SUM(Ventes!Q2:Q10)</f>
        <v/>
      </c>
    </row>
    <row r="6">
      <c r="A6" s="15" t="inlineStr">
        <is>
          <t>Taux de marge global</t>
        </is>
      </c>
      <c r="B6" s="44">
        <f>IFERROR(B5/B4,0)</f>
        <v/>
      </c>
    </row>
    <row r="7">
      <c r="A7" s="15" t="inlineStr">
        <is>
          <t>Taux de marque global</t>
        </is>
      </c>
      <c r="B7" s="44">
        <f>IFERROR(B5/B3,0)</f>
        <v/>
      </c>
    </row>
    <row r="8">
      <c r="A8" s="15" t="inlineStr">
        <is>
          <t>Nombre de ventes</t>
        </is>
      </c>
      <c r="B8" s="18">
        <f>COUNTIF(Ventes!A2:A10,"&gt;0")</f>
        <v/>
      </c>
    </row>
    <row r="9">
      <c r="A9" s="15" t="inlineStr">
        <is>
          <t>Panier moyen HT</t>
        </is>
      </c>
      <c r="B9" s="43">
        <f>IFERROR(B3/B8,0)</f>
        <v/>
      </c>
    </row>
    <row r="10">
      <c r="A10" s="15" t="inlineStr">
        <is>
          <t>Nombre de ventes à surveiller</t>
        </is>
      </c>
      <c r="B10" s="18">
        <f>COUNTIF(Ventes!V2:V10,"À surveiller")</f>
        <v/>
      </c>
    </row>
    <row r="11">
      <c r="A11" s="15" t="inlineStr">
        <is>
          <t>Nombre de marges négatives</t>
        </is>
      </c>
      <c r="B11" s="18">
        <f>COUNTIF(Ventes!V2:V10,"Alerte : marge négative")</f>
        <v/>
      </c>
    </row>
    <row r="12"/>
    <row r="13">
      <c r="A13" s="14" t="inlineStr">
        <is>
          <t>Synthèse par catégorie</t>
        </is>
      </c>
    </row>
    <row r="14">
      <c r="A14" s="1" t="inlineStr">
        <is>
          <t>Catégorie</t>
        </is>
      </c>
      <c r="B14" s="1" t="inlineStr">
        <is>
          <t>CA HT</t>
        </is>
      </c>
      <c r="C14" s="1" t="inlineStr">
        <is>
          <t>Coût d'achat HT</t>
        </is>
      </c>
      <c r="D14" s="1" t="inlineStr">
        <is>
          <t>Marge commerciale</t>
        </is>
      </c>
      <c r="E14" s="1" t="inlineStr">
        <is>
          <t>Taux de marge</t>
        </is>
      </c>
    </row>
    <row r="15">
      <c r="A15" s="19" t="inlineStr">
        <is>
          <t>Mobilier</t>
        </is>
      </c>
      <c r="B15" s="41">
        <f>SUMIF(Ventes!H:H,A15,Ventes!O:O)</f>
        <v/>
      </c>
      <c r="C15" s="41">
        <f>SUMIF(Ventes!H:H,A15,Ventes!N:N)</f>
        <v/>
      </c>
      <c r="D15" s="41">
        <f>B15-C15</f>
        <v/>
      </c>
      <c r="E15" s="45">
        <f>IFERROR(D15/C15,0)</f>
        <v/>
      </c>
    </row>
    <row r="16">
      <c r="A16" s="21" t="inlineStr">
        <is>
          <t>Informatique</t>
        </is>
      </c>
      <c r="B16" s="38">
        <f>SUMIF(Ventes!H:H,A16,Ventes!O:O)</f>
        <v/>
      </c>
      <c r="C16" s="38">
        <f>SUMIF(Ventes!H:H,A16,Ventes!N:N)</f>
        <v/>
      </c>
      <c r="D16" s="38">
        <f>B16-C16</f>
        <v/>
      </c>
      <c r="E16" s="46">
        <f>IFERROR(D16/C16,0)</f>
        <v/>
      </c>
    </row>
    <row r="17">
      <c r="A17" s="19" t="inlineStr">
        <is>
          <t>Logiciels</t>
        </is>
      </c>
      <c r="B17" s="41">
        <f>SUMIF(Ventes!H:H,A17,Ventes!O:O)</f>
        <v/>
      </c>
      <c r="C17" s="41">
        <f>SUMIF(Ventes!H:H,A17,Ventes!N:N)</f>
        <v/>
      </c>
      <c r="D17" s="41">
        <f>B17-C17</f>
        <v/>
      </c>
      <c r="E17" s="45">
        <f>IFERROR(D17/C17,0)</f>
        <v/>
      </c>
    </row>
    <row r="18">
      <c r="A18" s="21" t="inlineStr">
        <is>
          <t>Téléphonie</t>
        </is>
      </c>
      <c r="B18" s="38">
        <f>SUMIF(Ventes!H:H,A18,Ventes!O:O)</f>
        <v/>
      </c>
      <c r="C18" s="38">
        <f>SUMIF(Ventes!H:H,A18,Ventes!N:N)</f>
        <v/>
      </c>
      <c r="D18" s="38">
        <f>B18-C18</f>
        <v/>
      </c>
      <c r="E18" s="46">
        <f>IFERROR(D18/C18,0)</f>
        <v/>
      </c>
    </row>
    <row r="19">
      <c r="A19" s="19" t="inlineStr">
        <is>
          <t>Fournitures</t>
        </is>
      </c>
      <c r="B19" s="41">
        <f>SUMIF(Ventes!H:H,A19,Ventes!O:O)</f>
        <v/>
      </c>
      <c r="C19" s="41">
        <f>SUMIF(Ventes!H:H,A19,Ventes!N:N)</f>
        <v/>
      </c>
      <c r="D19" s="41">
        <f>B19-C19</f>
        <v/>
      </c>
      <c r="E19" s="45">
        <f>IFERROR(D19/C19,0)</f>
        <v/>
      </c>
    </row>
    <row r="20">
      <c r="A20" s="15" t="inlineStr">
        <is>
          <t>TOTAL</t>
        </is>
      </c>
      <c r="B20" s="47">
        <f>SUM(B15:B19)</f>
        <v/>
      </c>
      <c r="C20" s="47">
        <f>SUM(C15:C19)</f>
        <v/>
      </c>
      <c r="D20" s="47">
        <f>SUM(D15:D19)</f>
        <v/>
      </c>
      <c r="E20" s="48">
        <f>IFERROR(D20/C20,0)</f>
        <v/>
      </c>
    </row>
    <row r="21"/>
    <row r="22"/>
    <row r="23">
      <c r="G23" s="25" t="inlineStr">
        <is>
          <t>Date</t>
        </is>
      </c>
      <c r="H23" s="25" t="inlineStr">
        <is>
          <t>CA HT</t>
        </is>
      </c>
    </row>
    <row r="24">
      <c r="G24" s="49">
        <f>Ventes!B2</f>
        <v/>
      </c>
      <c r="H24" s="50">
        <f>Ventes!O2</f>
        <v/>
      </c>
    </row>
    <row r="25">
      <c r="G25" s="49">
        <f>Ventes!B3</f>
        <v/>
      </c>
      <c r="H25" s="50">
        <f>Ventes!O3</f>
        <v/>
      </c>
    </row>
    <row r="26">
      <c r="G26" s="49">
        <f>Ventes!B4</f>
        <v/>
      </c>
      <c r="H26" s="50">
        <f>Ventes!O4</f>
        <v/>
      </c>
    </row>
    <row r="27">
      <c r="G27" s="49">
        <f>Ventes!B5</f>
        <v/>
      </c>
      <c r="H27" s="50">
        <f>Ventes!O5</f>
        <v/>
      </c>
    </row>
    <row r="28">
      <c r="G28" s="49">
        <f>Ventes!B6</f>
        <v/>
      </c>
      <c r="H28" s="50">
        <f>Ventes!O6</f>
        <v/>
      </c>
    </row>
    <row r="29">
      <c r="G29" s="49">
        <f>Ventes!B7</f>
        <v/>
      </c>
      <c r="H29" s="50">
        <f>Ventes!O7</f>
        <v/>
      </c>
    </row>
    <row r="30">
      <c r="G30" s="49">
        <f>Ventes!B8</f>
        <v/>
      </c>
      <c r="H30" s="50">
        <f>Ventes!O8</f>
        <v/>
      </c>
    </row>
    <row r="31">
      <c r="G31" s="49">
        <f>Ventes!B9</f>
        <v/>
      </c>
      <c r="H31" s="50">
        <f>Ventes!O9</f>
        <v/>
      </c>
    </row>
    <row r="32">
      <c r="G32" s="49">
        <f>Ventes!B10</f>
        <v/>
      </c>
      <c r="H32" s="50">
        <f>Ventes!O10</f>
        <v/>
      </c>
    </row>
  </sheetData>
  <mergeCells count="2">
    <mergeCell ref="A1:E1"/>
    <mergeCell ref="A13:E13"/>
  </mergeCells>
  <conditionalFormatting sqref="B5">
    <cfRule type="expression" priority="1" dxfId="2" stopIfTrue="1">
      <formula>B5&lt;0</formula>
    </cfRule>
    <cfRule type="expression" priority="2" dxfId="3" stopIfTrue="1">
      <formula>B5&gt;=0</formula>
    </cfRule>
  </conditionalFormatting>
  <conditionalFormatting sqref="D15:D19">
    <cfRule type="expression" priority="3" dxfId="0" stopIfTrue="1">
      <formula>D15&lt;0</formula>
    </cfRule>
    <cfRule type="expression" priority="4" dxfId="1" stopIfTrue="1">
      <formula>D15&gt;=0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14" customWidth="1" min="3" max="3"/>
    <col width="22" customWidth="1" min="4" max="4"/>
    <col width="22" customWidth="1" min="5" max="5"/>
    <col width="12" customWidth="1" min="6" max="6"/>
  </cols>
  <sheetData>
    <row r="1" ht="30" customHeight="1">
      <c r="A1" s="1" t="inlineStr">
        <is>
          <t>Référence produit</t>
        </is>
      </c>
      <c r="B1" s="1" t="inlineStr">
        <is>
          <t>Produit</t>
        </is>
      </c>
      <c r="C1" s="1" t="inlineStr">
        <is>
          <t>Catégorie</t>
        </is>
      </c>
      <c r="D1" s="1" t="inlineStr">
        <is>
          <t>Prix d'achat unitaire HT</t>
        </is>
      </c>
      <c r="E1" s="1" t="inlineStr">
        <is>
          <t>Prix de vente unitaire HT</t>
        </is>
      </c>
      <c r="F1" s="1" t="inlineStr">
        <is>
          <t>Taux de TVA</t>
        </is>
      </c>
    </row>
    <row r="2">
      <c r="A2" s="28" t="inlineStr">
        <is>
          <t>REF-001</t>
        </is>
      </c>
      <c r="B2" s="29" t="inlineStr">
        <is>
          <t>Bureau droit 160 cm chêne</t>
        </is>
      </c>
      <c r="C2" s="29" t="inlineStr">
        <is>
          <t>Mobilier</t>
        </is>
      </c>
      <c r="D2" s="51" t="n">
        <v>145</v>
      </c>
      <c r="E2" s="51" t="n">
        <v>249</v>
      </c>
      <c r="F2" s="52" t="n">
        <v>0.2</v>
      </c>
    </row>
    <row r="3">
      <c r="A3" s="32" t="inlineStr">
        <is>
          <t>REF-002</t>
        </is>
      </c>
      <c r="B3" s="33" t="inlineStr">
        <is>
          <t>Imprimante laser multifonction</t>
        </is>
      </c>
      <c r="C3" s="33" t="inlineStr">
        <is>
          <t>Informatique</t>
        </is>
      </c>
      <c r="D3" s="43" t="n">
        <v>189</v>
      </c>
      <c r="E3" s="43" t="n">
        <v>329</v>
      </c>
      <c r="F3" s="53" t="n">
        <v>0.2</v>
      </c>
    </row>
    <row r="4">
      <c r="A4" s="28" t="inlineStr">
        <is>
          <t>REF-003</t>
        </is>
      </c>
      <c r="B4" s="29" t="inlineStr">
        <is>
          <t>Écran 27 pouces 4K</t>
        </is>
      </c>
      <c r="C4" s="29" t="inlineStr">
        <is>
          <t>Informatique</t>
        </is>
      </c>
      <c r="D4" s="51" t="n">
        <v>175</v>
      </c>
      <c r="E4" s="51" t="n">
        <v>299</v>
      </c>
      <c r="F4" s="52" t="n">
        <v>0.2</v>
      </c>
    </row>
    <row r="5">
      <c r="A5" s="32" t="inlineStr">
        <is>
          <t>REF-004</t>
        </is>
      </c>
      <c r="B5" s="33" t="inlineStr">
        <is>
          <t>Fauteuil ergonomique à accoudoirs</t>
        </is>
      </c>
      <c r="C5" s="33" t="inlineStr">
        <is>
          <t>Mobilier</t>
        </is>
      </c>
      <c r="D5" s="43" t="n">
        <v>210</v>
      </c>
      <c r="E5" s="43" t="n">
        <v>389</v>
      </c>
      <c r="F5" s="53" t="n">
        <v>0.2</v>
      </c>
    </row>
    <row r="6">
      <c r="A6" s="28" t="inlineStr">
        <is>
          <t>REF-005</t>
        </is>
      </c>
      <c r="B6" s="29" t="inlineStr">
        <is>
          <t>Logiciel de gestion commerciale (licence annuelle)</t>
        </is>
      </c>
      <c r="C6" s="29" t="inlineStr">
        <is>
          <t>Logiciels</t>
        </is>
      </c>
      <c r="D6" s="51" t="n">
        <v>320</v>
      </c>
      <c r="E6" s="51" t="n">
        <v>590</v>
      </c>
      <c r="F6" s="52" t="n">
        <v>0.2</v>
      </c>
    </row>
    <row r="7">
      <c r="A7" s="32" t="inlineStr">
        <is>
          <t>REF-006</t>
        </is>
      </c>
      <c r="B7" s="33" t="inlineStr">
        <is>
          <t>Caisson de bureau 3 tiroirs</t>
        </is>
      </c>
      <c r="C7" s="33" t="inlineStr">
        <is>
          <t>Mobilier</t>
        </is>
      </c>
      <c r="D7" s="43" t="n">
        <v>68</v>
      </c>
      <c r="E7" s="43" t="n">
        <v>129</v>
      </c>
      <c r="F7" s="53" t="n">
        <v>0.2</v>
      </c>
    </row>
    <row r="8">
      <c r="A8" s="28" t="inlineStr">
        <is>
          <t>REF-007</t>
        </is>
      </c>
      <c r="B8" s="29" t="inlineStr">
        <is>
          <t>Téléphone professionnel Android</t>
        </is>
      </c>
      <c r="C8" s="29" t="inlineStr">
        <is>
          <t>Téléphonie</t>
        </is>
      </c>
      <c r="D8" s="51" t="n">
        <v>245</v>
      </c>
      <c r="E8" s="51" t="n">
        <v>429</v>
      </c>
      <c r="F8" s="52" t="n">
        <v>0.2</v>
      </c>
    </row>
    <row r="9">
      <c r="A9" s="32" t="inlineStr">
        <is>
          <t>REF-008</t>
        </is>
      </c>
      <c r="B9" s="33" t="inlineStr">
        <is>
          <t>Ramette de papier A4 80 g (lot de 5)</t>
        </is>
      </c>
      <c r="C9" s="33" t="inlineStr">
        <is>
          <t>Fournitures</t>
        </is>
      </c>
      <c r="D9" s="43" t="n">
        <v>14.5</v>
      </c>
      <c r="E9" s="43" t="n">
        <v>27.9</v>
      </c>
      <c r="F9" s="53" t="n">
        <v>0.2</v>
      </c>
    </row>
    <row r="10">
      <c r="A10" s="28" t="inlineStr">
        <is>
          <t>REF-009</t>
        </is>
      </c>
      <c r="B10" s="29" t="inlineStr">
        <is>
          <t>Casque audio avec micro</t>
        </is>
      </c>
      <c r="C10" s="29" t="inlineStr">
        <is>
          <t>Téléphonie</t>
        </is>
      </c>
      <c r="D10" s="51" t="n">
        <v>38</v>
      </c>
      <c r="E10" s="51" t="n">
        <v>79</v>
      </c>
      <c r="F10" s="52" t="n">
        <v>0.2</v>
      </c>
    </row>
    <row r="11">
      <c r="A11" s="32" t="inlineStr">
        <is>
          <t>REF-010</t>
        </is>
      </c>
      <c r="B11" s="33" t="inlineStr">
        <is>
          <t>Formation logiciel de gestion (jour)</t>
        </is>
      </c>
      <c r="C11" s="33" t="inlineStr">
        <is>
          <t>Logiciels</t>
        </is>
      </c>
      <c r="D11" s="43" t="n">
        <v>280</v>
      </c>
      <c r="E11" s="43" t="n">
        <v>490</v>
      </c>
      <c r="F11" s="53" t="n">
        <v>0.2</v>
      </c>
    </row>
  </sheetData>
  <autoFilter ref="A1:F1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4" t="inlineStr">
        <is>
          <t>Mode d'emploi — Tableau de calcul de marge commerciale</t>
        </is>
      </c>
    </row>
    <row r="2">
      <c r="A2" s="35" t="inlineStr"/>
    </row>
    <row r="3">
      <c r="A3" s="36" t="inlineStr">
        <is>
          <t>OBJECTIF</t>
        </is>
      </c>
    </row>
    <row r="4">
      <c r="A4" s="35" t="inlineStr">
        <is>
          <t>Ce classeur permet de suivre la marge commerciale de chaque vente : chiffre d'affaires HT et TTC,</t>
        </is>
      </c>
    </row>
    <row r="5">
      <c r="A5" s="35" t="inlineStr">
        <is>
          <t>coût d'achat, remise, TVA collectée, marge brute, taux de marge et taux de marque.</t>
        </is>
      </c>
    </row>
    <row r="6">
      <c r="A6" s="35" t="inlineStr"/>
    </row>
    <row r="7">
      <c r="A7" s="36" t="inlineStr">
        <is>
          <t>FEUILLE « Ventes »</t>
        </is>
      </c>
    </row>
    <row r="8">
      <c r="A8" s="35" t="inlineStr">
        <is>
          <t>Saisissez uniquement les colonnes sur fond jaune pâle : date, commercial, client, ville,</t>
        </is>
      </c>
    </row>
    <row r="9">
      <c r="A9" s="35" t="inlineStr">
        <is>
          <t>référence produit, quantité, remise % et taux de TVA.</t>
        </is>
      </c>
    </row>
    <row r="10">
      <c r="A10" s="35" t="inlineStr">
        <is>
          <t>Les autres colonnes se calculent automatiquement à partir de la référence produit (feuille Référentiel).</t>
        </is>
      </c>
    </row>
    <row r="11">
      <c r="A11" s="35" t="inlineStr">
        <is>
          <t>Statut marge : « Marge satisfaisante » si taux de marge ≥ 30 %, « À surveiller » entre 0 et 30 %,</t>
        </is>
      </c>
    </row>
    <row r="12">
      <c r="A12" s="35" t="inlineStr">
        <is>
          <t>« Alerte : marge négative » si la vente est réalisée à perte.</t>
        </is>
      </c>
    </row>
    <row r="13">
      <c r="A13" s="35" t="inlineStr"/>
    </row>
    <row r="14">
      <c r="A14" s="36" t="inlineStr">
        <is>
          <t>FEUILLE « Synthèse »</t>
        </is>
      </c>
    </row>
    <row r="15">
      <c r="A15" s="35" t="inlineStr">
        <is>
          <t>Tableau de bord automatique : CA HT total, marge totale, taux de marge global, panier moyen,</t>
        </is>
      </c>
    </row>
    <row r="16">
      <c r="A16" s="35" t="inlineStr">
        <is>
          <t>alertes, synthèse par catégorie et trois graphiques (histogramme, camembert, courbe).</t>
        </is>
      </c>
    </row>
    <row r="17">
      <c r="A17" s="35" t="inlineStr">
        <is>
          <t>Aucune saisie nécessaire : tout se met à jour dès qu'une vente est modifiée.</t>
        </is>
      </c>
    </row>
    <row r="18">
      <c r="A18" s="35" t="inlineStr"/>
    </row>
    <row r="19">
      <c r="A19" s="36" t="inlineStr">
        <is>
          <t>FEUILLE « Référentiel »</t>
        </is>
      </c>
    </row>
    <row r="20">
      <c r="A20" s="35" t="inlineStr">
        <is>
          <t>Catalogue des produits avec prix d'achat et de vente HT. Ajoutez vos produits ici :</t>
        </is>
      </c>
    </row>
    <row r="21">
      <c r="A21" s="35" t="inlineStr">
        <is>
          <t>les recherches de la feuille Ventes les utiliseront automatiquement.</t>
        </is>
      </c>
    </row>
    <row r="22">
      <c r="A22" s="35" t="inlineStr"/>
    </row>
    <row r="23">
      <c r="A23" s="36" t="inlineStr">
        <is>
          <t>DÉFINITIONS</t>
        </is>
      </c>
    </row>
    <row r="24">
      <c r="A24" s="35" t="inlineStr">
        <is>
          <t>Taux de marge = marge commerciale / coût d'achat total HT.</t>
        </is>
      </c>
    </row>
    <row r="25">
      <c r="A25" s="35" t="inlineStr">
        <is>
          <t>Taux de marque = marge commerciale / chiffre d'affaires HT.</t>
        </is>
      </c>
    </row>
    <row r="26">
      <c r="A26" s="35" t="inlineStr">
        <is>
          <t>Tous les montants sont exprimés en euros hors taxes, sauf mention contraire (TTC, TVA).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2026-08-01T13:13:04Z</dcterms:created>
  <dcterms:modified xmlns:dcterms="http://purl.org/dc/terms/" xmlns:xsi="http://www.w3.org/2001/XMLSchema-instance" xsi:type="dcterms:W3CDTF">2026-08-01T13:13:04Z</dcterms:modified>
</cp:coreProperties>
</file>